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arvsystemscombr-my.sharepoint.com/personal/vendas3_arvsystems_com_br/Documents/Área de Trabalho/"/>
    </mc:Choice>
  </mc:AlternateContent>
  <xr:revisionPtr revIDLastSave="0" documentId="14_{6ECD6833-7049-45FE-A921-D35848879B23}" xr6:coauthVersionLast="47" xr6:coauthVersionMax="47" xr10:uidLastSave="{00000000-0000-0000-0000-000000000000}"/>
  <bookViews>
    <workbookView xWindow="-110" yWindow="-110" windowWidth="19420" windowHeight="11020" xr2:uid="{00000000-000D-0000-FFFF-FFFF00000000}"/>
    <workbookView visibility="hidden" xWindow="-110" yWindow="-110" windowWidth="19420" windowHeight="11020" xr2:uid="{371F5395-BBA1-4292-9D87-8D387E03CFF0}"/>
  </bookViews>
  <sheets>
    <sheet name="Questionário" sheetId="1" r:id="rId1"/>
    <sheet name="Indenização" sheetId="8" r:id="rId2"/>
    <sheet name="fCustosAnuais" sheetId="3" state="hidden" r:id="rId3"/>
    <sheet name="fTurnos" sheetId="6" state="hidden" r:id="rId4"/>
    <sheet name="fColaboradores" sheetId="10" state="hidden" r:id="rId5"/>
    <sheet name="fFuncao" sheetId="5" state="hidden" r:id="rId6"/>
  </sheets>
  <definedNames>
    <definedName name="Z_C1D6E6E4_C31B_4F7E_8809_B20788FC97D3_.wvu.Cols" localSheetId="0" hidden="1">Questionário!#REF!</definedName>
  </definedNames>
  <calcPr calcId="191029"/>
  <customWorkbookViews>
    <customWorkbookView name="lalala" guid="{C1D6E6E4-C31B-4F7E-8809-B20788FC97D3}" includePrintSettings="0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0" l="1"/>
  <c r="F3" i="10" s="1"/>
  <c r="E37" i="1"/>
  <c r="F33" i="10" l="1"/>
  <c r="F9" i="10"/>
  <c r="F12" i="10"/>
  <c r="F20" i="10"/>
  <c r="F28" i="10"/>
  <c r="F36" i="10"/>
  <c r="F44" i="10"/>
  <c r="F52" i="10"/>
  <c r="F60" i="10"/>
  <c r="F68" i="10"/>
  <c r="F76" i="10"/>
  <c r="F84" i="10"/>
  <c r="F92" i="10"/>
  <c r="F100" i="10"/>
  <c r="F14" i="10"/>
  <c r="F22" i="10"/>
  <c r="F38" i="10"/>
  <c r="F54" i="10"/>
  <c r="F70" i="10"/>
  <c r="F86" i="10"/>
  <c r="F102" i="10"/>
  <c r="F15" i="10"/>
  <c r="F31" i="10"/>
  <c r="F47" i="10"/>
  <c r="F63" i="10"/>
  <c r="F79" i="10"/>
  <c r="F95" i="10"/>
  <c r="F8" i="10"/>
  <c r="F24" i="10"/>
  <c r="F40" i="10"/>
  <c r="F56" i="10"/>
  <c r="F80" i="10"/>
  <c r="F96" i="10"/>
  <c r="F17" i="10"/>
  <c r="F41" i="10"/>
  <c r="F57" i="10"/>
  <c r="F73" i="10"/>
  <c r="F89" i="10"/>
  <c r="F4" i="10"/>
  <c r="F18" i="10"/>
  <c r="F34" i="10"/>
  <c r="F50" i="10"/>
  <c r="F66" i="10"/>
  <c r="F82" i="10"/>
  <c r="F98" i="10"/>
  <c r="F11" i="10"/>
  <c r="F27" i="10"/>
  <c r="F43" i="10"/>
  <c r="F59" i="10"/>
  <c r="F67" i="10"/>
  <c r="F83" i="10"/>
  <c r="F99" i="10"/>
  <c r="F13" i="10"/>
  <c r="F21" i="10"/>
  <c r="F29" i="10"/>
  <c r="F37" i="10"/>
  <c r="F45" i="10"/>
  <c r="F53" i="10"/>
  <c r="F61" i="10"/>
  <c r="F69" i="10"/>
  <c r="F77" i="10"/>
  <c r="F85" i="10"/>
  <c r="F93" i="10"/>
  <c r="F101" i="10"/>
  <c r="F6" i="10"/>
  <c r="F30" i="10"/>
  <c r="F46" i="10"/>
  <c r="F62" i="10"/>
  <c r="F78" i="10"/>
  <c r="F94" i="10"/>
  <c r="F7" i="10"/>
  <c r="F23" i="10"/>
  <c r="F39" i="10"/>
  <c r="F55" i="10"/>
  <c r="F71" i="10"/>
  <c r="F87" i="10"/>
  <c r="F103" i="10"/>
  <c r="F16" i="10"/>
  <c r="F32" i="10"/>
  <c r="F48" i="10"/>
  <c r="F64" i="10"/>
  <c r="F72" i="10"/>
  <c r="F88" i="10"/>
  <c r="F5" i="10"/>
  <c r="F25" i="10"/>
  <c r="F49" i="10"/>
  <c r="F65" i="10"/>
  <c r="F81" i="10"/>
  <c r="F97" i="10"/>
  <c r="F10" i="10"/>
  <c r="F26" i="10"/>
  <c r="F42" i="10"/>
  <c r="F58" i="10"/>
  <c r="F74" i="10"/>
  <c r="F90" i="10"/>
  <c r="F19" i="10"/>
  <c r="F35" i="10"/>
  <c r="F51" i="10"/>
  <c r="F75" i="10"/>
  <c r="F91" i="10"/>
  <c r="E38" i="1"/>
  <c r="E36" i="1"/>
  <c r="G36" i="1"/>
  <c r="G40" i="1"/>
  <c r="E41" i="1"/>
  <c r="F41" i="1"/>
  <c r="F40" i="1"/>
  <c r="E40" i="1"/>
  <c r="G38" i="1"/>
  <c r="F38" i="1"/>
  <c r="F34" i="1"/>
  <c r="F35" i="1"/>
  <c r="G34" i="1" s="1"/>
  <c r="L14" i="1"/>
  <c r="C3" i="3" l="1"/>
  <c r="F5" i="8" l="1"/>
  <c r="F6" i="8"/>
  <c r="F4" i="8"/>
  <c r="F7" i="8"/>
  <c r="C12" i="3"/>
  <c r="C4" i="3"/>
  <c r="C9" i="3"/>
  <c r="C5" i="3"/>
  <c r="C10" i="3"/>
  <c r="C11" i="3"/>
  <c r="C6" i="3"/>
  <c r="C8" i="3"/>
  <c r="C7" i="3" l="1"/>
  <c r="C14" i="3" s="1"/>
  <c r="C15" i="3" s="1"/>
  <c r="J29" i="1" s="1"/>
  <c r="E34" i="1" l="1"/>
  <c r="F36" i="1"/>
  <c r="L8" i="1"/>
  <c r="J11" i="1"/>
  <c r="H34" i="1" l="1"/>
  <c r="K34" i="1" s="1"/>
  <c r="J22" i="1"/>
  <c r="H38" i="1" s="1"/>
  <c r="K38" i="1" s="1"/>
  <c r="J15" i="1"/>
  <c r="J17" i="1" s="1"/>
  <c r="H40" i="1"/>
  <c r="K40" i="1" s="1"/>
  <c r="H36" i="1" l="1"/>
  <c r="K36" i="1" s="1"/>
  <c r="K42" i="1" s="1"/>
  <c r="H42" i="1" l="1"/>
  <c r="K44" i="1" s="1"/>
  <c r="J42" i="1" l="1"/>
  <c r="H48" i="1"/>
  <c r="G48" i="1"/>
  <c r="F48" i="1"/>
  <c r="I48" i="1"/>
  <c r="K48" i="1"/>
  <c r="E48" i="1"/>
  <c r="C48" i="1"/>
</calcChain>
</file>

<file path=xl/sharedStrings.xml><?xml version="1.0" encoding="utf-8"?>
<sst xmlns="http://schemas.openxmlformats.org/spreadsheetml/2006/main" count="95" uniqueCount="92">
  <si>
    <t>Quantos turnos a área a ser automatizada opera?</t>
  </si>
  <si>
    <t>Qual a quantidade de colaboradores por turno nesta área?</t>
  </si>
  <si>
    <t>Considerando que neste processo a porcentagem de absenteísmo por LER é de:</t>
  </si>
  <si>
    <t>REDUÇÃO DE CUSTOS</t>
  </si>
  <si>
    <t>Quantos colaboradores por turno estão dedicados para a inspeção de qualidade dos itens não conformes?</t>
  </si>
  <si>
    <t>Custo mensal com defeitos detectados em campo (logística e/ou multas):</t>
  </si>
  <si>
    <t>Qual o salário dos colaboradores dedicados à esta operação?</t>
  </si>
  <si>
    <t>Classificação de Indenização em Caso de Acidente ou Doença do Trabalho</t>
  </si>
  <si>
    <t>Multiplicador</t>
  </si>
  <si>
    <t>Custo anual com mão de obra aplicada para aumento de produtividade:</t>
  </si>
  <si>
    <t>FERRAMENTA PARA APONTAMENTO DE CUSTOS ANUAIS</t>
  </si>
  <si>
    <t>Cálculo de Custo Anual por Colaborador</t>
  </si>
  <si>
    <t>Salário Médio por Colaborador:</t>
  </si>
  <si>
    <t>13º Salário</t>
  </si>
  <si>
    <t>1/3 de Férias</t>
  </si>
  <si>
    <t>FGTS</t>
  </si>
  <si>
    <t>FGTS sobre Férias e 13º salario</t>
  </si>
  <si>
    <t>INSS</t>
  </si>
  <si>
    <t>Uniforme</t>
  </si>
  <si>
    <t>Alimentação</t>
  </si>
  <si>
    <t>Plano de Saúde/Odontológico</t>
  </si>
  <si>
    <t>EPI</t>
  </si>
  <si>
    <t>Seguro de Vida Obrigatório</t>
  </si>
  <si>
    <t>Custo Mensal Total por Colaborador</t>
  </si>
  <si>
    <t>Custo Anual Total por Colaborador:</t>
  </si>
  <si>
    <t>Apresentação</t>
  </si>
  <si>
    <t>Quantidade</t>
  </si>
  <si>
    <t>Porcentagem para chance de acidente de trabalho para um colaborador com afastamento:</t>
  </si>
  <si>
    <t>Classificação da indenização com base na severidade do acidente de trabalho:</t>
  </si>
  <si>
    <t>Custos mensais adicionais com problemas em qualidade:</t>
  </si>
  <si>
    <t>Custo mensal com perda de matéria-prima com problemas de qualidade:</t>
  </si>
  <si>
    <t>Custo mensal com retrabalho e/ou assistência técnica aplicada com problemas de qualidade:</t>
  </si>
  <si>
    <t>1 turno</t>
  </si>
  <si>
    <t>2 turnos</t>
  </si>
  <si>
    <t>3 turnos</t>
  </si>
  <si>
    <t>Qual o custo anual com ferramentas, equipamentos e espaço fabril para o aumento de mão de obra?</t>
  </si>
  <si>
    <t>?</t>
  </si>
  <si>
    <t>Classificação</t>
  </si>
  <si>
    <t>O que pode incidir</t>
  </si>
  <si>
    <t>Riscos ergonômicos; má postura; lesões temporárias.</t>
  </si>
  <si>
    <t>Maiores riscos ergonômicos; lesões permanentes, porém não obstrutivas ao trabalho.</t>
  </si>
  <si>
    <t>Perda de membros de extremidade, como dedos; perda parcial da visão ou audição.</t>
  </si>
  <si>
    <t>Perda de membros maiores, como braços, pernas; prejuízos permanentes a orgãos; morte.</t>
  </si>
  <si>
    <t>Indenização para 01 colaborador trabalhando 01 turno</t>
  </si>
  <si>
    <t>AUMENTO DE PRODUTIVIDADE</t>
  </si>
  <si>
    <t>Retornar para Questionário</t>
  </si>
  <si>
    <t>CLIENTE:</t>
  </si>
  <si>
    <t>Qual a produção, em produtos / hora, alcançada atualmente?</t>
  </si>
  <si>
    <t>Custo anual com custos com qualidade (R$):</t>
  </si>
  <si>
    <t>Custo anual com custos com segurança e ergonomia dos colaboradores (R$):</t>
  </si>
  <si>
    <t>Custo anual com mão de obra dedicada (R$):</t>
  </si>
  <si>
    <t>Custo anual para aumento de produtividade do setor (R$):</t>
  </si>
  <si>
    <t>Quantidade de turnos envolvidos.</t>
  </si>
  <si>
    <t>Colaboradores envolvidos.</t>
  </si>
  <si>
    <t>Produtos por hora atualmente.</t>
  </si>
  <si>
    <t>Cálculo do custo adicional com mão de obra aplicada para aumento de produção.</t>
  </si>
  <si>
    <t>Custo adicional para aumento de produção.</t>
  </si>
  <si>
    <t>Taxa média de absenteísmo.</t>
  </si>
  <si>
    <r>
      <t>Clique em "</t>
    </r>
    <r>
      <rPr>
        <i/>
        <u/>
        <sz val="9"/>
        <color rgb="FF087E8B"/>
        <rFont val="Calibri"/>
        <family val="2"/>
        <scheme val="minor"/>
      </rPr>
      <t>?</t>
    </r>
    <r>
      <rPr>
        <i/>
        <sz val="9"/>
        <color rgb="FF087E8B"/>
        <rFont val="Calibri"/>
        <family val="2"/>
        <scheme val="minor"/>
      </rPr>
      <t>" para saber mais.</t>
    </r>
  </si>
  <si>
    <t>Colaboradores dedicados para inspeção.</t>
  </si>
  <si>
    <t>Porcentagem de chance de acidente de trabalho.</t>
  </si>
  <si>
    <t>Com defeitos detectados em campo.</t>
  </si>
  <si>
    <t>Com retrabalho ou assistência técnica.</t>
  </si>
  <si>
    <t>Com custos adicionais com qualidade.</t>
  </si>
  <si>
    <t>Com perda de matéria-prima.</t>
  </si>
  <si>
    <t>Qual a porcentagem de aumento de produção desejada?</t>
  </si>
  <si>
    <t>LEVE</t>
  </si>
  <si>
    <t>MÉDIA</t>
  </si>
  <si>
    <t>GRAVE</t>
  </si>
  <si>
    <t>GRAVÍSSIMA</t>
  </si>
  <si>
    <t>PRÉ-PROJETO/SETOR:</t>
  </si>
  <si>
    <t>AUMENTO DE SEGURANÇA E ERGONOMIA</t>
  </si>
  <si>
    <t>AUMENTO DE QUALIDADE</t>
  </si>
  <si>
    <t>PILARES</t>
  </si>
  <si>
    <t>PERGUNTAS</t>
  </si>
  <si>
    <t>RESPOSTAS</t>
  </si>
  <si>
    <t>SAVING ANUAL COM A AUTOMAÇÃO</t>
  </si>
  <si>
    <t>Mão de Obra Dedicada</t>
  </si>
  <si>
    <t>Aumento de Produtividade</t>
  </si>
  <si>
    <t>Aumento da Qualidade</t>
  </si>
  <si>
    <t>Aumento da Segurança e Ergonomia</t>
  </si>
  <si>
    <t xml:space="preserve">RESUMO DE CUSTOS ANUAIS </t>
  </si>
  <si>
    <t>CUSTO ANUAL COM AUTOMAÇÃO</t>
  </si>
  <si>
    <t>CUSTO ANUAL NO CENÁRIO SEM AUTOMAÇÃO</t>
  </si>
  <si>
    <t>CUSTO ANUAL SEM E COM AUTOMAÇÃO</t>
  </si>
  <si>
    <t>SAVING ANUAL DE:</t>
  </si>
  <si>
    <t>CUSTO ANUAL TOTAL NO CENÁRIO SEM AUTOMAÇÃO:</t>
  </si>
  <si>
    <t>Número Atual de Colaboradores:</t>
  </si>
  <si>
    <t>Listagem de Redução</t>
  </si>
  <si>
    <t>#</t>
  </si>
  <si>
    <t>REDUÇÃO DE CUSTO COM AUTOMAÇÃO</t>
  </si>
  <si>
    <t>v3.4.0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</si>
</sst>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R$&quot;\ #,##0.00;\-&quot;R$&quot;\ #,##0.00"/>
    <numFmt numFmtId="164" formatCode="_-&quot;R$&quot;* #,##0.00_-;\-&quot;R$&quot;* #,##0.00_-;_-&quot;R$&quot;* &quot;-&quot;??_-;_-@_-"/>
    <numFmt numFmtId="165" formatCode="_(&quot;$&quot;* #,##0.00_);_(&quot;$&quot;* \(#,##0.00\);_(&quot;$&quot;* &quot;-&quot;??_);_(@_)"/>
    <numFmt numFmtId="166" formatCode="&quot;R$&quot;\ #,##0.00"/>
    <numFmt numFmtId="167" formatCode="&quot;R$&quot;#,##0.00"/>
    <numFmt numFmtId="168" formatCode="#&quot;º ANO&quot;"/>
    <numFmt numFmtId="169" formatCode="&quot;Custo por colaborador estimado em&quot;\ &quot;R$&quot;\ ##,###.00"/>
    <numFmt numFmtId="170" formatCode="&quot;Total de&quot;\ #0\ &quot;colaboradores ao dia&quot;"/>
    <numFmt numFmtId="171" formatCode="#0\ &quot;colaboradores&quot;"/>
    <numFmt numFmtId="172" formatCode="#0.00\ &quot;colaborador por turno&quot;"/>
    <numFmt numFmtId="173" formatCode="#0.00\ &quot;colaborador(es) por turno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5A5F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0B3954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9"/>
      <color rgb="FF087E8B"/>
      <name val="Calibri"/>
      <family val="2"/>
      <scheme val="minor"/>
    </font>
    <font>
      <i/>
      <u/>
      <sz val="9"/>
      <color rgb="FF087E8B"/>
      <name val="Calibri"/>
      <family val="2"/>
      <scheme val="minor"/>
    </font>
    <font>
      <i/>
      <sz val="9"/>
      <color rgb="FFFF5A5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rgb="FF21B18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5A5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21B18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rgb="FFC00000"/>
        </stop>
        <stop position="1">
          <color theme="0"/>
        </stop>
      </gradientFill>
    </fill>
    <fill>
      <gradientFill>
        <stop position="0">
          <color rgb="FFFF0000"/>
        </stop>
        <stop position="1">
          <color theme="0"/>
        </stop>
      </gradientFill>
    </fill>
    <fill>
      <patternFill patternType="solid">
        <fgColor rgb="FFC81D25"/>
        <bgColor rgb="FF434343"/>
      </patternFill>
    </fill>
    <fill>
      <patternFill patternType="solid">
        <fgColor rgb="FFC81D25"/>
        <bgColor indexed="64"/>
      </patternFill>
    </fill>
    <fill>
      <patternFill patternType="solid">
        <fgColor rgb="FF0B3954"/>
        <bgColor indexed="64"/>
      </patternFill>
    </fill>
    <fill>
      <patternFill patternType="solid">
        <fgColor rgb="FF087E8B"/>
        <bgColor indexed="64"/>
      </patternFill>
    </fill>
    <fill>
      <patternFill patternType="solid">
        <fgColor rgb="FFBFD7EA"/>
        <bgColor indexed="64"/>
      </patternFill>
    </fill>
    <fill>
      <patternFill patternType="solid">
        <fgColor rgb="FFFF5A5F"/>
        <bgColor indexed="64"/>
      </patternFill>
    </fill>
    <fill>
      <patternFill patternType="solid">
        <fgColor rgb="FF21B188"/>
        <bgColor indexed="64"/>
      </patternFill>
    </fill>
    <fill>
      <patternFill patternType="solid">
        <fgColor rgb="FFFAFAFA"/>
        <bgColor indexed="64"/>
      </patternFill>
    </fill>
  </fills>
  <borders count="10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B3954"/>
      </bottom>
      <diagonal/>
    </border>
    <border>
      <left style="thin">
        <color theme="0"/>
      </left>
      <right/>
      <top style="thin">
        <color rgb="FF0B3954"/>
      </top>
      <bottom style="thin">
        <color rgb="FF0B3954"/>
      </bottom>
      <diagonal/>
    </border>
    <border>
      <left/>
      <right/>
      <top style="thin">
        <color rgb="FF0B3954"/>
      </top>
      <bottom style="thin">
        <color rgb="FF0B3954"/>
      </bottom>
      <diagonal/>
    </border>
    <border>
      <left/>
      <right style="thin">
        <color rgb="FF0B3954"/>
      </right>
      <top style="thin">
        <color rgb="FF0B3954"/>
      </top>
      <bottom style="thin">
        <color rgb="FF0B3954"/>
      </bottom>
      <diagonal/>
    </border>
    <border>
      <left/>
      <right style="thin">
        <color rgb="FF0B3954"/>
      </right>
      <top style="thin">
        <color theme="0"/>
      </top>
      <bottom style="thin">
        <color theme="0"/>
      </bottom>
      <diagonal/>
    </border>
    <border>
      <left style="thin">
        <color rgb="FFC81D25"/>
      </left>
      <right/>
      <top style="thin">
        <color rgb="FFC81D25"/>
      </top>
      <bottom style="thin">
        <color rgb="FFC81D25"/>
      </bottom>
      <diagonal/>
    </border>
    <border>
      <left/>
      <right/>
      <top style="thin">
        <color rgb="FFC81D25"/>
      </top>
      <bottom style="thin">
        <color rgb="FFC81D25"/>
      </bottom>
      <diagonal/>
    </border>
    <border>
      <left/>
      <right style="thin">
        <color rgb="FFC81D25"/>
      </right>
      <top style="thin">
        <color rgb="FFC81D25"/>
      </top>
      <bottom style="thin">
        <color rgb="FFC81D2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rgb="FF0B3954"/>
      </bottom>
      <diagonal/>
    </border>
    <border>
      <left style="thin">
        <color theme="0"/>
      </left>
      <right style="thin">
        <color theme="0"/>
      </right>
      <top style="thin">
        <color rgb="FF087E8B"/>
      </top>
      <bottom style="thin">
        <color theme="0"/>
      </bottom>
      <diagonal/>
    </border>
    <border>
      <left style="thin">
        <color rgb="FF0B39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B3954"/>
      </left>
      <right style="thin">
        <color theme="0"/>
      </right>
      <top style="thin">
        <color theme="0"/>
      </top>
      <bottom style="thin">
        <color rgb="FF0B3954"/>
      </bottom>
      <diagonal/>
    </border>
    <border>
      <left style="thin">
        <color theme="0"/>
      </left>
      <right/>
      <top/>
      <bottom style="thin">
        <color rgb="FF0B3954"/>
      </bottom>
      <diagonal/>
    </border>
    <border>
      <left/>
      <right style="thin">
        <color rgb="FF0B3954"/>
      </right>
      <top style="thin">
        <color theme="0"/>
      </top>
      <bottom style="thin">
        <color rgb="FF0B3954"/>
      </bottom>
      <diagonal/>
    </border>
    <border>
      <left style="thin">
        <color rgb="FF0B3954"/>
      </left>
      <right style="thin">
        <color theme="0"/>
      </right>
      <top style="thin">
        <color rgb="FF0B3954"/>
      </top>
      <bottom style="thin">
        <color theme="0"/>
      </bottom>
      <diagonal/>
    </border>
    <border>
      <left style="thin">
        <color theme="0"/>
      </left>
      <right/>
      <top style="thin">
        <color rgb="FF0B3954"/>
      </top>
      <bottom style="thin">
        <color theme="0"/>
      </bottom>
      <diagonal/>
    </border>
    <border>
      <left/>
      <right/>
      <top style="thin">
        <color rgb="FF0B3954"/>
      </top>
      <bottom style="thin">
        <color theme="0"/>
      </bottom>
      <diagonal/>
    </border>
    <border>
      <left/>
      <right style="thin">
        <color rgb="FF0B3954"/>
      </right>
      <top style="thin">
        <color rgb="FF0B395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B3954"/>
      </bottom>
      <diagonal/>
    </border>
    <border>
      <left/>
      <right/>
      <top style="thin">
        <color theme="0"/>
      </top>
      <bottom/>
      <diagonal/>
    </border>
    <border>
      <left style="thin">
        <color rgb="FF0B3954"/>
      </left>
      <right style="thin">
        <color theme="0"/>
      </right>
      <top/>
      <bottom style="thin">
        <color theme="0"/>
      </bottom>
      <diagonal/>
    </border>
    <border>
      <left style="thin">
        <color rgb="FFC81D25"/>
      </left>
      <right style="thin">
        <color theme="0"/>
      </right>
      <top style="thin">
        <color rgb="FFC81D2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C81D25"/>
      </top>
      <bottom/>
      <diagonal/>
    </border>
    <border>
      <left/>
      <right/>
      <top style="thin">
        <color rgb="FFC81D25"/>
      </top>
      <bottom/>
      <diagonal/>
    </border>
    <border>
      <left/>
      <right style="thin">
        <color rgb="FFC81D25"/>
      </right>
      <top style="thin">
        <color rgb="FFC81D25"/>
      </top>
      <bottom/>
      <diagonal/>
    </border>
    <border>
      <left/>
      <right style="thin">
        <color rgb="FF0B3954"/>
      </right>
      <top style="thin">
        <color theme="0"/>
      </top>
      <bottom/>
      <diagonal/>
    </border>
    <border>
      <left style="thin">
        <color rgb="FFFF5A5F"/>
      </left>
      <right style="thin">
        <color rgb="FFFF5A5F"/>
      </right>
      <top style="thin">
        <color rgb="FFFF5A5F"/>
      </top>
      <bottom style="thin">
        <color rgb="FFFF5A5F"/>
      </bottom>
      <diagonal/>
    </border>
    <border>
      <left style="thin">
        <color rgb="FFFF5A5F"/>
      </left>
      <right/>
      <top style="thin">
        <color rgb="FFFF5A5F"/>
      </top>
      <bottom style="thin">
        <color theme="0"/>
      </bottom>
      <diagonal/>
    </border>
    <border>
      <left/>
      <right/>
      <top style="thin">
        <color rgb="FFFF5A5F"/>
      </top>
      <bottom style="thin">
        <color theme="0"/>
      </bottom>
      <diagonal/>
    </border>
    <border>
      <left/>
      <right style="thin">
        <color rgb="FFFF5A5F"/>
      </right>
      <top style="thin">
        <color rgb="FFFF5A5F"/>
      </top>
      <bottom style="thin">
        <color theme="0"/>
      </bottom>
      <diagonal/>
    </border>
    <border>
      <left style="thin">
        <color theme="0"/>
      </left>
      <right style="thin">
        <color rgb="FFFF5A5F"/>
      </right>
      <top style="thin">
        <color theme="0"/>
      </top>
      <bottom style="thin">
        <color rgb="FFFF5A5F"/>
      </bottom>
      <diagonal/>
    </border>
    <border>
      <left style="thin">
        <color theme="0"/>
      </left>
      <right style="thin">
        <color rgb="FF087E8B"/>
      </right>
      <top style="thin">
        <color rgb="FF087E8B"/>
      </top>
      <bottom style="thin">
        <color theme="0"/>
      </bottom>
      <diagonal/>
    </border>
    <border>
      <left style="thin">
        <color rgb="FF21B188"/>
      </left>
      <right style="thin">
        <color theme="0"/>
      </right>
      <top style="thin">
        <color rgb="FF21B188"/>
      </top>
      <bottom style="thin">
        <color theme="0"/>
      </bottom>
      <diagonal/>
    </border>
    <border>
      <left style="thin">
        <color rgb="FF21B188"/>
      </left>
      <right style="thin">
        <color theme="0"/>
      </right>
      <top style="thin">
        <color theme="0"/>
      </top>
      <bottom style="thin">
        <color rgb="FF21B188"/>
      </bottom>
      <diagonal/>
    </border>
    <border>
      <left style="thin">
        <color theme="0"/>
      </left>
      <right style="thin">
        <color theme="0"/>
      </right>
      <top style="thin">
        <color rgb="FF21B188"/>
      </top>
      <bottom style="thin">
        <color theme="0"/>
      </bottom>
      <diagonal/>
    </border>
    <border>
      <left style="thin">
        <color theme="0"/>
      </left>
      <right style="thin">
        <color rgb="FF21B188"/>
      </right>
      <top style="thin">
        <color rgb="FF21B188"/>
      </top>
      <bottom style="thin">
        <color theme="0"/>
      </bottom>
      <diagonal/>
    </border>
    <border>
      <left style="thin">
        <color rgb="FF21B188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21B188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1B188"/>
      </bottom>
      <diagonal/>
    </border>
    <border>
      <left style="thin">
        <color theme="0"/>
      </left>
      <right/>
      <top style="thin">
        <color theme="0"/>
      </top>
      <bottom style="thin">
        <color rgb="FF21B188"/>
      </bottom>
      <diagonal/>
    </border>
    <border>
      <left/>
      <right style="thin">
        <color theme="0"/>
      </right>
      <top style="thin">
        <color theme="0"/>
      </top>
      <bottom style="thin">
        <color rgb="FF21B188"/>
      </bottom>
      <diagonal/>
    </border>
    <border>
      <left style="thin">
        <color rgb="FFFF5A5F"/>
      </left>
      <right/>
      <top style="thin">
        <color theme="0"/>
      </top>
      <bottom style="thin">
        <color rgb="FFFF5A5F"/>
      </bottom>
      <diagonal/>
    </border>
    <border>
      <left style="thin">
        <color theme="0"/>
      </left>
      <right style="thin">
        <color rgb="FFFF5A5F"/>
      </right>
      <top style="thin">
        <color theme="0"/>
      </top>
      <bottom/>
      <diagonal/>
    </border>
    <border>
      <left style="thin">
        <color theme="0"/>
      </left>
      <right style="thin">
        <color rgb="FFFF5A5F"/>
      </right>
      <top/>
      <bottom style="thin">
        <color theme="0"/>
      </bottom>
      <diagonal/>
    </border>
    <border>
      <left style="thin">
        <color rgb="FF21B188"/>
      </left>
      <right style="thin">
        <color theme="0"/>
      </right>
      <top/>
      <bottom style="thin">
        <color rgb="FF21B188"/>
      </bottom>
      <diagonal/>
    </border>
    <border>
      <left/>
      <right style="thin">
        <color rgb="FF087E8B"/>
      </right>
      <top style="thin">
        <color theme="0"/>
      </top>
      <bottom/>
      <diagonal/>
    </border>
    <border>
      <left/>
      <right style="thin">
        <color rgb="FF087E8B"/>
      </right>
      <top/>
      <bottom style="thin">
        <color theme="0"/>
      </bottom>
      <diagonal/>
    </border>
    <border>
      <left style="thin">
        <color rgb="FFFF5A5F"/>
      </left>
      <right/>
      <top style="thin">
        <color theme="0"/>
      </top>
      <bottom/>
      <diagonal/>
    </border>
    <border>
      <left style="thin">
        <color rgb="FFFF5A5F"/>
      </left>
      <right/>
      <top/>
      <bottom style="thin">
        <color theme="0"/>
      </bottom>
      <diagonal/>
    </border>
    <border>
      <left style="thin">
        <color rgb="FF21B188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5A5F"/>
      </left>
      <right/>
      <top/>
      <bottom style="thin">
        <color rgb="FFFF5A5F"/>
      </bottom>
      <diagonal/>
    </border>
    <border>
      <left/>
      <right style="thin">
        <color theme="0"/>
      </right>
      <top/>
      <bottom style="thin">
        <color rgb="FFFF5A5F"/>
      </bottom>
      <diagonal/>
    </border>
    <border>
      <left style="thin">
        <color rgb="FFFF5A5F"/>
      </left>
      <right/>
      <top style="thin">
        <color rgb="FFFF5A5F"/>
      </top>
      <bottom/>
      <diagonal/>
    </border>
    <border>
      <left style="thin">
        <color rgb="FF21B188"/>
      </left>
      <right style="thin">
        <color theme="0"/>
      </right>
      <top style="thin">
        <color rgb="FF21B188"/>
      </top>
      <bottom/>
      <diagonal/>
    </border>
    <border>
      <left style="thin">
        <color rgb="FFFF5A5F"/>
      </left>
      <right style="thin">
        <color rgb="FFFF5A5F"/>
      </right>
      <top style="thin">
        <color rgb="FFFF5A5F"/>
      </top>
      <bottom/>
      <diagonal/>
    </border>
    <border>
      <left style="thin">
        <color rgb="FFFF5A5F"/>
      </left>
      <right style="thin">
        <color rgb="FFFF5A5F"/>
      </right>
      <top/>
      <bottom style="thin">
        <color rgb="FFFF5A5F"/>
      </bottom>
      <diagonal/>
    </border>
    <border>
      <left style="thin">
        <color rgb="FF0B3954"/>
      </left>
      <right/>
      <top style="thin">
        <color rgb="FF0B3954"/>
      </top>
      <bottom style="thin">
        <color rgb="FF0B3954"/>
      </bottom>
      <diagonal/>
    </border>
    <border>
      <left style="thin">
        <color rgb="FFFF5A5F"/>
      </left>
      <right/>
      <top style="thin">
        <color rgb="FFFF5A5F"/>
      </top>
      <bottom style="thin">
        <color rgb="FFFF5A5F"/>
      </bottom>
      <diagonal/>
    </border>
    <border>
      <left style="thin">
        <color theme="0"/>
      </left>
      <right style="thin">
        <color rgb="FFFF5A5F"/>
      </right>
      <top/>
      <bottom/>
      <diagonal/>
    </border>
    <border>
      <left/>
      <right style="thin">
        <color rgb="FF087E8B"/>
      </right>
      <top/>
      <bottom/>
      <diagonal/>
    </border>
    <border>
      <left style="thin">
        <color theme="0"/>
      </left>
      <right style="thin">
        <color rgb="FFFF5A5F"/>
      </right>
      <top/>
      <bottom style="thin">
        <color rgb="FFFF5A5F"/>
      </bottom>
      <diagonal/>
    </border>
    <border>
      <left style="thin">
        <color theme="0"/>
      </left>
      <right style="thin">
        <color rgb="FFFF5A5F"/>
      </right>
      <top style="thin">
        <color rgb="FFFF5A5F"/>
      </top>
      <bottom/>
      <diagonal/>
    </border>
    <border>
      <left style="thin">
        <color theme="0"/>
      </left>
      <right style="thin">
        <color rgb="FFFF5A5F"/>
      </right>
      <top style="thin">
        <color rgb="FFFF5A5F"/>
      </top>
      <bottom style="thin">
        <color rgb="FFFF5A5F"/>
      </bottom>
      <diagonal/>
    </border>
    <border>
      <left/>
      <right style="thin">
        <color rgb="FF21B188"/>
      </right>
      <top style="thin">
        <color theme="0"/>
      </top>
      <bottom style="thin">
        <color rgb="FF21B188"/>
      </bottom>
      <diagonal/>
    </border>
    <border>
      <left/>
      <right/>
      <top/>
      <bottom style="thin">
        <color rgb="FFFF5A5F"/>
      </bottom>
      <diagonal/>
    </border>
    <border>
      <left style="thin">
        <color rgb="FFFF5A5F"/>
      </left>
      <right/>
      <top/>
      <bottom/>
      <diagonal/>
    </border>
    <border>
      <left style="thin">
        <color rgb="FFFF5A5F"/>
      </left>
      <right style="thin">
        <color theme="0"/>
      </right>
      <top style="thin">
        <color rgb="FFFF5A5F"/>
      </top>
      <bottom/>
      <diagonal/>
    </border>
    <border>
      <left style="thin">
        <color rgb="FFFF5A5F"/>
      </left>
      <right style="thin">
        <color theme="0"/>
      </right>
      <top/>
      <bottom style="thin">
        <color theme="2" tint="-9.9978637043366805E-2"/>
      </bottom>
      <diagonal/>
    </border>
    <border>
      <left style="thin">
        <color rgb="FFFF5A5F"/>
      </left>
      <right/>
      <top/>
      <bottom style="thin">
        <color theme="2" tint="-9.9978637043366805E-2"/>
      </bottom>
      <diagonal/>
    </border>
    <border>
      <left/>
      <right style="thin">
        <color theme="0"/>
      </right>
      <top/>
      <bottom style="thin">
        <color theme="2" tint="-9.9978637043366805E-2"/>
      </bottom>
      <diagonal/>
    </border>
    <border>
      <left style="thin">
        <color theme="0"/>
      </left>
      <right style="thin">
        <color rgb="FFFF5A5F"/>
      </right>
      <top style="thin">
        <color rgb="FFFF5A5F"/>
      </top>
      <bottom style="thin">
        <color theme="2" tint="-9.9978637043366805E-2"/>
      </bottom>
      <diagonal/>
    </border>
    <border>
      <left style="thin">
        <color rgb="FFFF5A5F"/>
      </left>
      <right style="thin">
        <color rgb="FFFF5A5F"/>
      </right>
      <top style="thin">
        <color rgb="FFFF5A5F"/>
      </top>
      <bottom style="thin">
        <color theme="2" tint="-9.9978637043366805E-2"/>
      </bottom>
      <diagonal/>
    </border>
    <border>
      <left style="thin">
        <color rgb="FFFF5A5F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0"/>
      </right>
      <top style="thin">
        <color theme="2" tint="-9.9978637043366805E-2"/>
      </top>
      <bottom/>
      <diagonal/>
    </border>
    <border>
      <left style="thin">
        <color rgb="FF087E8B"/>
      </left>
      <right/>
      <top style="thin">
        <color theme="0"/>
      </top>
      <bottom/>
      <diagonal/>
    </border>
    <border>
      <left style="thin">
        <color rgb="FF21B188"/>
      </left>
      <right style="thin">
        <color rgb="FF21B188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87E8B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FF5A5F"/>
      </bottom>
      <diagonal/>
    </border>
    <border>
      <left/>
      <right/>
      <top style="thin">
        <color theme="0"/>
      </top>
      <bottom style="thin">
        <color rgb="FFFF5A5F"/>
      </bottom>
      <diagonal/>
    </border>
    <border>
      <left style="thin">
        <color rgb="FF21B188"/>
      </left>
      <right style="thin">
        <color rgb="FF21B188"/>
      </right>
      <top/>
      <bottom style="thin">
        <color rgb="FF21B188"/>
      </bottom>
      <diagonal/>
    </border>
    <border>
      <left style="thin">
        <color rgb="FF21B188"/>
      </left>
      <right/>
      <top/>
      <bottom style="thin">
        <color rgb="FF087E8B"/>
      </bottom>
      <diagonal/>
    </border>
    <border>
      <left/>
      <right style="thin">
        <color rgb="FF087E8B"/>
      </right>
      <top/>
      <bottom style="thin">
        <color rgb="FF087E8B"/>
      </bottom>
      <diagonal/>
    </border>
    <border>
      <left/>
      <right style="thin">
        <color rgb="FFFF5A5F"/>
      </right>
      <top style="thin">
        <color theme="0"/>
      </top>
      <bottom style="thin">
        <color rgb="FFFF5A5F"/>
      </bottom>
      <diagonal/>
    </border>
    <border>
      <left style="thin">
        <color theme="0"/>
      </left>
      <right style="thin">
        <color rgb="FF0B395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6" borderId="6" applyBorder="0">
      <alignment horizontal="left" vertical="center"/>
    </xf>
    <xf numFmtId="167" fontId="10" fillId="5" borderId="7" applyBorder="0" applyAlignment="0">
      <alignment horizontal="left" vertical="center"/>
    </xf>
    <xf numFmtId="0" fontId="12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7" fontId="0" fillId="2" borderId="8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7" fontId="0" fillId="11" borderId="2" xfId="0" applyNumberForma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166" fontId="1" fillId="0" borderId="2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9" fontId="14" fillId="10" borderId="5" xfId="7" applyNumberFormat="1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9" borderId="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4" fillId="11" borderId="34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3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shrinkToFit="1"/>
    </xf>
    <xf numFmtId="9" fontId="4" fillId="10" borderId="1" xfId="3" applyFont="1" applyFill="1" applyBorder="1" applyAlignment="1" applyProtection="1">
      <alignment horizontal="left" vertical="center" indent="7" shrinkToFit="1"/>
      <protection locked="0"/>
    </xf>
    <xf numFmtId="7" fontId="27" fillId="13" borderId="58" xfId="0" applyNumberFormat="1" applyFont="1" applyFill="1" applyBorder="1" applyAlignment="1">
      <alignment horizontal="center" vertical="center"/>
    </xf>
    <xf numFmtId="0" fontId="0" fillId="0" borderId="70" xfId="0" applyBorder="1"/>
    <xf numFmtId="0" fontId="0" fillId="0" borderId="38" xfId="0" applyBorder="1" applyAlignment="1">
      <alignment horizontal="center" vertical="center" shrinkToFit="1"/>
    </xf>
    <xf numFmtId="168" fontId="26" fillId="0" borderId="2" xfId="0" applyNumberFormat="1" applyFont="1" applyBorder="1" applyAlignment="1">
      <alignment horizontal="center" vertical="center"/>
    </xf>
    <xf numFmtId="0" fontId="29" fillId="13" borderId="52" xfId="0" applyFont="1" applyFill="1" applyBorder="1" applyAlignment="1">
      <alignment horizontal="center" vertical="center" wrapText="1" shrinkToFit="1"/>
    </xf>
    <xf numFmtId="0" fontId="28" fillId="14" borderId="50" xfId="0" applyFont="1" applyFill="1" applyBorder="1" applyAlignment="1">
      <alignment horizontal="center" vertical="center" wrapText="1"/>
    </xf>
    <xf numFmtId="0" fontId="28" fillId="14" borderId="46" xfId="0" applyFont="1" applyFill="1" applyBorder="1" applyAlignment="1">
      <alignment horizontal="center" vertical="center" wrapText="1"/>
    </xf>
    <xf numFmtId="171" fontId="28" fillId="14" borderId="61" xfId="0" applyNumberFormat="1" applyFont="1" applyFill="1" applyBorder="1" applyAlignment="1">
      <alignment horizontal="center" vertical="center" wrapText="1"/>
    </xf>
    <xf numFmtId="0" fontId="28" fillId="14" borderId="84" xfId="0" applyFont="1" applyFill="1" applyBorder="1" applyAlignment="1">
      <alignment horizontal="center" vertical="center" wrapText="1"/>
    </xf>
    <xf numFmtId="0" fontId="28" fillId="14" borderId="92" xfId="0" applyFont="1" applyFill="1" applyBorder="1" applyAlignment="1">
      <alignment horizontal="center" vertical="center" wrapText="1"/>
    </xf>
    <xf numFmtId="0" fontId="28" fillId="14" borderId="93" xfId="0" applyFont="1" applyFill="1" applyBorder="1" applyAlignment="1">
      <alignment horizontal="center" vertical="center" wrapText="1"/>
    </xf>
    <xf numFmtId="7" fontId="10" fillId="12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7" fontId="10" fillId="0" borderId="38" xfId="0" applyNumberFormat="1" applyFont="1" applyBorder="1" applyAlignment="1">
      <alignment vertical="center"/>
    </xf>
    <xf numFmtId="0" fontId="0" fillId="0" borderId="97" xfId="0" applyBorder="1" applyAlignment="1">
      <alignment vertical="center"/>
    </xf>
    <xf numFmtId="9" fontId="10" fillId="13" borderId="98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72" xfId="0" applyFont="1" applyFill="1" applyBorder="1" applyAlignment="1">
      <alignment horizontal="right" wrapText="1"/>
    </xf>
    <xf numFmtId="0" fontId="13" fillId="2" borderId="86" xfId="0" applyFont="1" applyFill="1" applyBorder="1" applyAlignment="1">
      <alignment horizontal="right" wrapText="1"/>
    </xf>
    <xf numFmtId="0" fontId="13" fillId="2" borderId="73" xfId="0" applyFont="1" applyFill="1" applyBorder="1" applyAlignment="1">
      <alignment horizontal="right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58" xfId="0" applyBorder="1"/>
    <xf numFmtId="7" fontId="10" fillId="2" borderId="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9" fontId="10" fillId="13" borderId="102" xfId="3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3" fontId="0" fillId="0" borderId="8" xfId="0" applyNumberFormat="1" applyBorder="1" applyAlignment="1">
      <alignment horizontal="center" vertical="center"/>
    </xf>
    <xf numFmtId="49" fontId="28" fillId="14" borderId="72" xfId="0" applyNumberFormat="1" applyFont="1" applyFill="1" applyBorder="1" applyAlignment="1">
      <alignment horizontal="center" vertical="center" wrapText="1"/>
    </xf>
    <xf numFmtId="0" fontId="20" fillId="2" borderId="106" xfId="0" applyFont="1" applyFill="1" applyBorder="1" applyAlignment="1">
      <alignment vertical="center"/>
    </xf>
    <xf numFmtId="7" fontId="27" fillId="10" borderId="103" xfId="0" applyNumberFormat="1" applyFont="1" applyFill="1" applyBorder="1" applyAlignment="1">
      <alignment horizontal="center" vertical="center" wrapText="1"/>
    </xf>
    <xf numFmtId="7" fontId="27" fillId="10" borderId="104" xfId="0" applyNumberFormat="1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right" wrapText="1"/>
    </xf>
    <xf numFmtId="0" fontId="13" fillId="2" borderId="95" xfId="0" applyFont="1" applyFill="1" applyBorder="1" applyAlignment="1">
      <alignment horizontal="right" wrapText="1"/>
    </xf>
    <xf numFmtId="0" fontId="13" fillId="2" borderId="96" xfId="0" applyFont="1" applyFill="1" applyBorder="1" applyAlignment="1">
      <alignment horizontal="right" wrapText="1"/>
    </xf>
    <xf numFmtId="7" fontId="10" fillId="12" borderId="100" xfId="0" applyNumberFormat="1" applyFont="1" applyFill="1" applyBorder="1" applyAlignment="1">
      <alignment horizontal="center" vertical="center"/>
    </xf>
    <xf numFmtId="7" fontId="10" fillId="12" borderId="101" xfId="0" applyNumberFormat="1" applyFont="1" applyFill="1" applyBorder="1" applyAlignment="1">
      <alignment horizontal="center" vertical="center"/>
    </xf>
    <xf numFmtId="7" fontId="10" fillId="12" borderId="105" xfId="0" applyNumberFormat="1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left" vertical="center" wrapText="1" indent="18"/>
    </xf>
    <xf numFmtId="0" fontId="20" fillId="7" borderId="24" xfId="0" applyFont="1" applyFill="1" applyBorder="1" applyAlignment="1">
      <alignment horizontal="left" vertical="center" wrapText="1" indent="18"/>
    </xf>
    <xf numFmtId="0" fontId="20" fillId="7" borderId="25" xfId="0" applyFont="1" applyFill="1" applyBorder="1" applyAlignment="1">
      <alignment horizontal="left" vertical="center" wrapText="1" indent="18"/>
    </xf>
    <xf numFmtId="0" fontId="25" fillId="7" borderId="23" xfId="0" applyFont="1" applyFill="1" applyBorder="1" applyAlignment="1">
      <alignment horizontal="right" wrapText="1"/>
    </xf>
    <xf numFmtId="0" fontId="25" fillId="7" borderId="25" xfId="0" applyFont="1" applyFill="1" applyBorder="1" applyAlignment="1">
      <alignment horizontal="right" wrapText="1"/>
    </xf>
    <xf numFmtId="0" fontId="0" fillId="11" borderId="34" xfId="0" applyFill="1" applyBorder="1" applyAlignment="1">
      <alignment horizontal="left" vertical="center"/>
    </xf>
    <xf numFmtId="0" fontId="0" fillId="11" borderId="35" xfId="0" applyFill="1" applyBorder="1" applyAlignment="1">
      <alignment horizontal="left" vertical="center"/>
    </xf>
    <xf numFmtId="0" fontId="0" fillId="11" borderId="36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11" borderId="9" xfId="0" applyFill="1" applyBorder="1" applyAlignment="1">
      <alignment horizontal="left" vertical="center"/>
    </xf>
    <xf numFmtId="0" fontId="0" fillId="11" borderId="22" xfId="0" applyFill="1" applyBorder="1" applyAlignment="1">
      <alignment horizontal="left" vertical="center"/>
    </xf>
    <xf numFmtId="166" fontId="4" fillId="10" borderId="2" xfId="0" applyNumberFormat="1" applyFont="1" applyFill="1" applyBorder="1" applyAlignment="1" applyProtection="1">
      <alignment horizontal="center" vertical="center" shrinkToFit="1"/>
      <protection locked="0"/>
    </xf>
    <xf numFmtId="166" fontId="4" fillId="12" borderId="2" xfId="0" applyNumberFormat="1" applyFont="1" applyFill="1" applyBorder="1" applyAlignment="1">
      <alignment horizontal="center" vertical="center" shrinkToFit="1"/>
    </xf>
    <xf numFmtId="0" fontId="4" fillId="10" borderId="2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4" fillId="9" borderId="33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left" vertical="center"/>
    </xf>
    <xf numFmtId="0" fontId="0" fillId="11" borderId="38" xfId="0" applyFill="1" applyBorder="1" applyAlignment="1">
      <alignment horizontal="left" vertical="center"/>
    </xf>
    <xf numFmtId="0" fontId="0" fillId="11" borderId="45" xfId="0" applyFill="1" applyBorder="1" applyAlignment="1">
      <alignment horizontal="left" vertical="center"/>
    </xf>
    <xf numFmtId="0" fontId="0" fillId="11" borderId="37" xfId="0" applyFill="1" applyBorder="1" applyAlignment="1">
      <alignment horizontal="left" vertical="center"/>
    </xf>
    <xf numFmtId="0" fontId="0" fillId="11" borderId="27" xfId="0" applyFill="1" applyBorder="1" applyAlignment="1">
      <alignment horizontal="left" vertical="center"/>
    </xf>
    <xf numFmtId="0" fontId="0" fillId="11" borderId="32" xfId="0" applyFill="1" applyBorder="1" applyAlignment="1">
      <alignment horizontal="left" vertical="center"/>
    </xf>
    <xf numFmtId="7" fontId="10" fillId="10" borderId="56" xfId="0" applyNumberFormat="1" applyFont="1" applyFill="1" applyBorder="1" applyAlignment="1">
      <alignment horizontal="center" vertical="center" wrapText="1"/>
    </xf>
    <xf numFmtId="0" fontId="10" fillId="10" borderId="9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4" fillId="7" borderId="4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166" fontId="4" fillId="12" borderId="1" xfId="0" applyNumberFormat="1" applyFont="1" applyFill="1" applyBorder="1" applyAlignment="1">
      <alignment horizontal="center" vertical="center" shrinkToFit="1"/>
    </xf>
    <xf numFmtId="166" fontId="4" fillId="12" borderId="5" xfId="0" applyNumberFormat="1" applyFont="1" applyFill="1" applyBorder="1" applyAlignment="1">
      <alignment horizontal="center" vertical="center" shrinkToFit="1"/>
    </xf>
    <xf numFmtId="1" fontId="4" fillId="10" borderId="1" xfId="0" applyNumberFormat="1" applyFont="1" applyFill="1" applyBorder="1" applyAlignment="1" applyProtection="1">
      <alignment horizontal="center" vertical="center" shrinkToFit="1"/>
      <protection locked="0"/>
    </xf>
    <xf numFmtId="1" fontId="4" fillId="10" borderId="5" xfId="0" applyNumberFormat="1" applyFont="1" applyFill="1" applyBorder="1" applyAlignment="1" applyProtection="1">
      <alignment horizontal="center" vertical="center" shrinkToFit="1"/>
      <protection locked="0"/>
    </xf>
    <xf numFmtId="9" fontId="4" fillId="10" borderId="1" xfId="3" applyFont="1" applyFill="1" applyBorder="1" applyAlignment="1" applyProtection="1">
      <alignment horizontal="center" vertical="center" shrinkToFit="1"/>
      <protection locked="0"/>
    </xf>
    <xf numFmtId="9" fontId="4" fillId="10" borderId="5" xfId="3" applyFont="1" applyFill="1" applyBorder="1" applyAlignment="1" applyProtection="1">
      <alignment horizontal="center" vertical="center" shrinkToFit="1"/>
      <protection locked="0"/>
    </xf>
    <xf numFmtId="166" fontId="4" fillId="10" borderId="1" xfId="0" applyNumberFormat="1" applyFont="1" applyFill="1" applyBorder="1" applyAlignment="1">
      <alignment horizontal="center" vertical="center" shrinkToFit="1"/>
    </xf>
    <xf numFmtId="166" fontId="4" fillId="10" borderId="5" xfId="0" applyNumberFormat="1" applyFont="1" applyFill="1" applyBorder="1" applyAlignment="1">
      <alignment horizontal="center" vertical="center" shrinkToFit="1"/>
    </xf>
    <xf numFmtId="166" fontId="4" fillId="10" borderId="1" xfId="0" applyNumberFormat="1" applyFont="1" applyFill="1" applyBorder="1" applyAlignment="1" applyProtection="1">
      <alignment horizontal="center" vertical="center" shrinkToFit="1"/>
      <protection locked="0"/>
    </xf>
    <xf numFmtId="166" fontId="4" fillId="10" borderId="5" xfId="0" applyNumberFormat="1" applyFont="1" applyFill="1" applyBorder="1" applyAlignment="1" applyProtection="1">
      <alignment horizontal="center" vertical="center" shrinkToFit="1"/>
      <protection locked="0"/>
    </xf>
    <xf numFmtId="9" fontId="4" fillId="10" borderId="14" xfId="3" applyFont="1" applyFill="1" applyBorder="1" applyAlignment="1" applyProtection="1">
      <alignment horizontal="center" vertical="center" shrinkToFit="1"/>
      <protection locked="0"/>
    </xf>
    <xf numFmtId="9" fontId="4" fillId="10" borderId="15" xfId="3" applyFont="1" applyFill="1" applyBorder="1" applyAlignment="1" applyProtection="1">
      <alignment horizontal="center" vertical="center" shrinkToFit="1"/>
      <protection locked="0"/>
    </xf>
    <xf numFmtId="167" fontId="4" fillId="12" borderId="16" xfId="0" applyNumberFormat="1" applyFont="1" applyFill="1" applyBorder="1" applyAlignment="1">
      <alignment horizontal="center" vertical="center" shrinkToFit="1"/>
    </xf>
    <xf numFmtId="167" fontId="4" fillId="12" borderId="17" xfId="0" applyNumberFormat="1" applyFont="1" applyFill="1" applyBorder="1" applyAlignment="1">
      <alignment horizontal="center" vertical="center" shrinkToFit="1"/>
    </xf>
    <xf numFmtId="7" fontId="17" fillId="12" borderId="67" xfId="0" applyNumberFormat="1" applyFont="1" applyFill="1" applyBorder="1" applyAlignment="1">
      <alignment horizontal="center" vertical="center" wrapText="1"/>
    </xf>
    <xf numFmtId="7" fontId="17" fillId="12" borderId="15" xfId="0" applyNumberFormat="1" applyFont="1" applyFill="1" applyBorder="1" applyAlignment="1">
      <alignment horizontal="center" vertical="center" wrapText="1"/>
    </xf>
    <xf numFmtId="7" fontId="17" fillId="12" borderId="90" xfId="0" applyNumberFormat="1" applyFont="1" applyFill="1" applyBorder="1" applyAlignment="1">
      <alignment horizontal="center" vertical="center" wrapText="1"/>
    </xf>
    <xf numFmtId="7" fontId="17" fillId="12" borderId="91" xfId="0" applyNumberFormat="1" applyFont="1" applyFill="1" applyBorder="1" applyAlignment="1">
      <alignment horizontal="center" vertical="center" wrapText="1"/>
    </xf>
    <xf numFmtId="7" fontId="10" fillId="12" borderId="62" xfId="0" applyNumberFormat="1" applyFont="1" applyFill="1" applyBorder="1" applyAlignment="1">
      <alignment horizontal="center" vertical="center"/>
    </xf>
    <xf numFmtId="7" fontId="10" fillId="12" borderId="80" xfId="0" applyNumberFormat="1" applyFont="1" applyFill="1" applyBorder="1" applyAlignment="1">
      <alignment horizontal="center" vertical="center"/>
    </xf>
    <xf numFmtId="7" fontId="10" fillId="12" borderId="63" xfId="0" applyNumberFormat="1" applyFont="1" applyFill="1" applyBorder="1" applyAlignment="1">
      <alignment horizontal="center" vertical="center"/>
    </xf>
    <xf numFmtId="172" fontId="30" fillId="0" borderId="75" xfId="3" applyNumberFormat="1" applyFont="1" applyBorder="1" applyAlignment="1">
      <alignment horizontal="center" vertical="center"/>
    </xf>
    <xf numFmtId="172" fontId="30" fillId="0" borderId="64" xfId="3" applyNumberFormat="1" applyFont="1" applyBorder="1" applyAlignment="1">
      <alignment horizontal="center" vertical="center"/>
    </xf>
    <xf numFmtId="7" fontId="4" fillId="10" borderId="14" xfId="0" applyNumberFormat="1" applyFont="1" applyFill="1" applyBorder="1" applyAlignment="1">
      <alignment horizontal="center" vertical="center" wrapText="1"/>
    </xf>
    <xf numFmtId="7" fontId="4" fillId="10" borderId="65" xfId="0" applyNumberFormat="1" applyFont="1" applyFill="1" applyBorder="1" applyAlignment="1">
      <alignment horizontal="center" vertical="center" wrapText="1"/>
    </xf>
    <xf numFmtId="7" fontId="4" fillId="10" borderId="16" xfId="0" applyNumberFormat="1" applyFont="1" applyFill="1" applyBorder="1" applyAlignment="1">
      <alignment horizontal="center" vertical="center" wrapText="1"/>
    </xf>
    <xf numFmtId="7" fontId="4" fillId="10" borderId="66" xfId="0" applyNumberFormat="1" applyFont="1" applyFill="1" applyBorder="1" applyAlignment="1">
      <alignment horizontal="center" vertical="center" wrapText="1"/>
    </xf>
    <xf numFmtId="7" fontId="17" fillId="12" borderId="87" xfId="0" applyNumberFormat="1" applyFont="1" applyFill="1" applyBorder="1" applyAlignment="1">
      <alignment horizontal="center" vertical="center" wrapText="1"/>
    </xf>
    <xf numFmtId="7" fontId="17" fillId="12" borderId="70" xfId="0" applyNumberFormat="1" applyFont="1" applyFill="1" applyBorder="1" applyAlignment="1">
      <alignment horizontal="center" vertical="center" wrapText="1"/>
    </xf>
    <xf numFmtId="7" fontId="17" fillId="12" borderId="68" xfId="0" applyNumberFormat="1" applyFont="1" applyFill="1" applyBorder="1" applyAlignment="1">
      <alignment horizontal="center" vertical="center" wrapText="1"/>
    </xf>
    <xf numFmtId="7" fontId="17" fillId="12" borderId="17" xfId="0" applyNumberFormat="1" applyFont="1" applyFill="1" applyBorder="1" applyAlignment="1">
      <alignment horizontal="center" vertical="center" wrapText="1"/>
    </xf>
    <xf numFmtId="9" fontId="26" fillId="0" borderId="75" xfId="3" applyFont="1" applyBorder="1" applyAlignment="1">
      <alignment horizontal="center" vertical="center"/>
    </xf>
    <xf numFmtId="9" fontId="26" fillId="0" borderId="69" xfId="3" applyFont="1" applyBorder="1" applyAlignment="1">
      <alignment horizontal="center" vertical="center"/>
    </xf>
    <xf numFmtId="7" fontId="4" fillId="10" borderId="71" xfId="0" applyNumberFormat="1" applyFont="1" applyFill="1" applyBorder="1" applyAlignment="1">
      <alignment horizontal="center" vertical="center" wrapText="1"/>
    </xf>
    <xf numFmtId="7" fontId="4" fillId="10" borderId="81" xfId="0" applyNumberFormat="1" applyFont="1" applyFill="1" applyBorder="1" applyAlignment="1">
      <alignment horizontal="center" vertical="center" wrapText="1"/>
    </xf>
    <xf numFmtId="0" fontId="28" fillId="14" borderId="88" xfId="0" applyFont="1" applyFill="1" applyBorder="1" applyAlignment="1">
      <alignment horizontal="center" vertical="center" wrapText="1"/>
    </xf>
    <xf numFmtId="0" fontId="28" fillId="14" borderId="89" xfId="0" applyFont="1" applyFill="1" applyBorder="1" applyAlignment="1">
      <alignment horizontal="center" vertical="center" wrapText="1"/>
    </xf>
    <xf numFmtId="169" fontId="28" fillId="14" borderId="80" xfId="0" applyNumberFormat="1" applyFont="1" applyFill="1" applyBorder="1" applyAlignment="1">
      <alignment horizontal="center" vertical="center" wrapText="1"/>
    </xf>
    <xf numFmtId="169" fontId="28" fillId="14" borderId="82" xfId="0" applyNumberFormat="1" applyFont="1" applyFill="1" applyBorder="1" applyAlignment="1">
      <alignment horizontal="center" vertical="center" wrapText="1"/>
    </xf>
    <xf numFmtId="170" fontId="28" fillId="14" borderId="87" xfId="0" applyNumberFormat="1" applyFont="1" applyFill="1" applyBorder="1" applyAlignment="1">
      <alignment horizontal="center" vertical="center" wrapText="1" shrinkToFit="1"/>
    </xf>
    <xf numFmtId="170" fontId="28" fillId="14" borderId="72" xfId="0" applyNumberFormat="1" applyFont="1" applyFill="1" applyBorder="1" applyAlignment="1">
      <alignment horizontal="center" vertical="center" wrapText="1" shrinkToFit="1"/>
    </xf>
    <xf numFmtId="0" fontId="28" fillId="14" borderId="46" xfId="0" applyFont="1" applyFill="1" applyBorder="1" applyAlignment="1">
      <alignment horizontal="center" vertical="center" wrapText="1"/>
    </xf>
    <xf numFmtId="0" fontId="28" fillId="14" borderId="79" xfId="0" applyFont="1" applyFill="1" applyBorder="1" applyAlignment="1">
      <alignment horizontal="center" vertical="center" wrapText="1"/>
    </xf>
    <xf numFmtId="0" fontId="5" fillId="13" borderId="52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168" fontId="26" fillId="0" borderId="56" xfId="0" applyNumberFormat="1" applyFont="1" applyBorder="1" applyAlignment="1">
      <alignment horizontal="center" vertical="center"/>
    </xf>
    <xf numFmtId="168" fontId="26" fillId="0" borderId="2" xfId="0" applyNumberFormat="1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/>
    </xf>
    <xf numFmtId="7" fontId="27" fillId="13" borderId="59" xfId="0" applyNumberFormat="1" applyFont="1" applyFill="1" applyBorder="1" applyAlignment="1">
      <alignment horizontal="center" vertical="center" shrinkToFit="1"/>
    </xf>
    <xf numFmtId="0" fontId="27" fillId="13" borderId="60" xfId="0" applyFont="1" applyFill="1" applyBorder="1" applyAlignment="1">
      <alignment horizontal="center" vertical="center" shrinkToFit="1"/>
    </xf>
    <xf numFmtId="168" fontId="26" fillId="0" borderId="1" xfId="0" applyNumberFormat="1" applyFont="1" applyBorder="1" applyAlignment="1">
      <alignment horizontal="center" vertical="center" wrapText="1"/>
    </xf>
    <xf numFmtId="168" fontId="26" fillId="0" borderId="57" xfId="0" applyNumberFormat="1" applyFont="1" applyBorder="1" applyAlignment="1">
      <alignment horizontal="center" vertical="center" wrapText="1"/>
    </xf>
    <xf numFmtId="0" fontId="27" fillId="13" borderId="85" xfId="0" applyFont="1" applyFill="1" applyBorder="1" applyAlignment="1">
      <alignment horizontal="center" vertical="center" shrinkToFit="1"/>
    </xf>
    <xf numFmtId="7" fontId="27" fillId="13" borderId="53" xfId="0" applyNumberFormat="1" applyFont="1" applyFill="1" applyBorder="1" applyAlignment="1">
      <alignment horizontal="center" vertical="center"/>
    </xf>
    <xf numFmtId="0" fontId="27" fillId="13" borderId="5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7" fontId="29" fillId="10" borderId="28" xfId="0" applyNumberFormat="1" applyFont="1" applyFill="1" applyBorder="1" applyAlignment="1">
      <alignment horizontal="center" vertical="center" wrapText="1"/>
    </xf>
    <xf numFmtId="7" fontId="29" fillId="10" borderId="51" xfId="0" applyNumberFormat="1" applyFont="1" applyFill="1" applyBorder="1" applyAlignment="1">
      <alignment horizontal="center" vertical="center" wrapText="1"/>
    </xf>
    <xf numFmtId="167" fontId="4" fillId="12" borderId="1" xfId="0" applyNumberFormat="1" applyFont="1" applyFill="1" applyBorder="1" applyAlignment="1">
      <alignment horizontal="center" vertical="center" shrinkToFit="1"/>
    </xf>
    <xf numFmtId="167" fontId="4" fillId="12" borderId="5" xfId="0" applyNumberFormat="1" applyFont="1" applyFill="1" applyBorder="1" applyAlignment="1">
      <alignment horizontal="center" vertical="center" shrinkToFit="1"/>
    </xf>
    <xf numFmtId="0" fontId="4" fillId="10" borderId="1" xfId="0" applyFont="1" applyFill="1" applyBorder="1" applyAlignment="1" applyProtection="1">
      <alignment horizontal="center" vertical="center" shrinkToFit="1"/>
      <protection locked="0"/>
    </xf>
    <xf numFmtId="0" fontId="4" fillId="10" borderId="5" xfId="0" applyFont="1" applyFill="1" applyBorder="1" applyAlignment="1" applyProtection="1">
      <alignment horizontal="center" vertical="center" shrinkToFit="1"/>
      <protection locked="0"/>
    </xf>
    <xf numFmtId="0" fontId="20" fillId="9" borderId="78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7" fontId="10" fillId="12" borderId="47" xfId="0" applyNumberFormat="1" applyFont="1" applyFill="1" applyBorder="1" applyAlignment="1">
      <alignment horizontal="center" vertical="center"/>
    </xf>
    <xf numFmtId="7" fontId="10" fillId="12" borderId="48" xfId="0" applyNumberFormat="1" applyFont="1" applyFill="1" applyBorder="1" applyAlignment="1">
      <alignment horizontal="center" vertical="center"/>
    </xf>
    <xf numFmtId="7" fontId="10" fillId="12" borderId="49" xfId="0" applyNumberFormat="1" applyFont="1" applyFill="1" applyBorder="1" applyAlignment="1">
      <alignment horizontal="center" vertical="center"/>
    </xf>
    <xf numFmtId="0" fontId="28" fillId="14" borderId="83" xfId="0" applyFont="1" applyFill="1" applyBorder="1" applyAlignment="1">
      <alignment horizontal="center" vertical="center" wrapText="1"/>
    </xf>
    <xf numFmtId="0" fontId="28" fillId="14" borderId="82" xfId="0" applyFont="1" applyFill="1" applyBorder="1" applyAlignment="1">
      <alignment horizontal="center" vertical="center" wrapText="1"/>
    </xf>
    <xf numFmtId="0" fontId="28" fillId="14" borderId="76" xfId="0" applyFont="1" applyFill="1" applyBorder="1" applyAlignment="1">
      <alignment horizontal="center" vertical="center" wrapText="1"/>
    </xf>
    <xf numFmtId="0" fontId="28" fillId="14" borderId="77" xfId="0" applyFont="1" applyFill="1" applyBorder="1" applyAlignment="1">
      <alignment horizontal="center" vertical="center" wrapText="1"/>
    </xf>
    <xf numFmtId="0" fontId="28" fillId="14" borderId="74" xfId="0" applyFont="1" applyFill="1" applyBorder="1" applyAlignment="1">
      <alignment horizontal="center" vertical="center" wrapText="1"/>
    </xf>
    <xf numFmtId="0" fontId="28" fillId="14" borderId="72" xfId="0" applyFont="1" applyFill="1" applyBorder="1" applyAlignment="1">
      <alignment horizontal="center" vertical="center" wrapText="1"/>
    </xf>
    <xf numFmtId="9" fontId="26" fillId="0" borderId="64" xfId="3" applyFont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Estilo 1" xfId="5" xr:uid="{63C7686A-2A0E-47CE-8E13-CA1F56616435}"/>
    <cellStyle name="Estilo 2" xfId="6" xr:uid="{53F9EE4A-7896-45A9-A515-F42842DF8F48}"/>
    <cellStyle name="Hiperligação" xfId="7" builtinId="8"/>
    <cellStyle name="Moeda 2" xfId="2" xr:uid="{00000000-0005-0000-0000-000000000000}"/>
    <cellStyle name="Moeda 3" xfId="4" xr:uid="{E9C5D5FF-8D2B-4876-94EC-99FD8A636D86}"/>
    <cellStyle name="Normal" xfId="0" builtinId="0"/>
    <cellStyle name="Normal 2" xfId="1" xr:uid="{00000000-0005-0000-0000-000002000000}"/>
    <cellStyle name="Percentagem" xfId="3" builtinId="5"/>
  </cellStyles>
  <dxfs count="0"/>
  <tableStyles count="0" defaultTableStyle="TableStyleMedium2" defaultPivotStyle="PivotStyleLight16"/>
  <colors>
    <mruColors>
      <color rgb="FF0B3954"/>
      <color rgb="FFFF5A5F"/>
      <color rgb="FF21B188"/>
      <color rgb="FF087E8B"/>
      <color rgb="FFFF6666"/>
      <color rgb="FFFAFAFA"/>
      <color rgb="FFF0F0F0"/>
      <color rgb="FFFFAAAA"/>
      <color rgb="FF2CD8A7"/>
      <color rgb="FFBFD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Question&#225;rio!I2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201617</xdr:colOff>
      <xdr:row>1</xdr:row>
      <xdr:rowOff>38100</xdr:rowOff>
    </xdr:from>
    <xdr:to>
      <xdr:col>1</xdr:col>
      <xdr:colOff>1256510</xdr:colOff>
      <xdr:row>2</xdr:row>
      <xdr:rowOff>22650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FA23592-AAFD-92BE-B164-8A12AF9CCA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31" b="11188"/>
        <a:stretch/>
      </xdr:blipFill>
      <xdr:spPr>
        <a:xfrm>
          <a:off x="320680" y="165100"/>
          <a:ext cx="1054893" cy="460800"/>
        </a:xfrm>
        <a:prstGeom prst="rect">
          <a:avLst/>
        </a:prstGeom>
      </xdr:spPr>
    </xdr:pic>
    <xdr:clientData/>
  </xdr:twoCellAnchor>
  <xdr:twoCellAnchor>
    <xdr:from>
      <xdr:col>7</xdr:col>
      <xdr:colOff>785813</xdr:colOff>
      <xdr:row>42</xdr:row>
      <xdr:rowOff>63500</xdr:rowOff>
    </xdr:from>
    <xdr:to>
      <xdr:col>11</xdr:col>
      <xdr:colOff>665865</xdr:colOff>
      <xdr:row>42</xdr:row>
      <xdr:rowOff>207501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BA20D933-EA21-A11D-B20E-6D6056FA4EEF}"/>
            </a:ext>
          </a:extLst>
        </xdr:cNvPr>
        <xdr:cNvGrpSpPr/>
      </xdr:nvGrpSpPr>
      <xdr:grpSpPr>
        <a:xfrm>
          <a:off x="8890001" y="11160125"/>
          <a:ext cx="3539239" cy="144001"/>
          <a:chOff x="8890001" y="11080749"/>
          <a:chExt cx="3539239" cy="144001"/>
        </a:xfrm>
      </xdr:grpSpPr>
      <xdr:sp macro="" textlink="">
        <xdr:nvSpPr>
          <xdr:cNvPr id="6" name="Seta: Em Ângulo 5">
            <a:extLst>
              <a:ext uri="{FF2B5EF4-FFF2-40B4-BE49-F238E27FC236}">
                <a16:creationId xmlns:a16="http://schemas.microsoft.com/office/drawing/2014/main" id="{89FF799D-DE8B-4454-99F7-4F8A9956BFFC}"/>
              </a:ext>
            </a:extLst>
          </xdr:cNvPr>
          <xdr:cNvSpPr/>
        </xdr:nvSpPr>
        <xdr:spPr>
          <a:xfrm rot="5400000" flipH="1" flipV="1">
            <a:off x="8998001" y="10972749"/>
            <a:ext cx="144000" cy="360000"/>
          </a:xfrm>
          <a:prstGeom prst="bentArrow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Seta: Em Ângulo 6">
            <a:extLst>
              <a:ext uri="{FF2B5EF4-FFF2-40B4-BE49-F238E27FC236}">
                <a16:creationId xmlns:a16="http://schemas.microsoft.com/office/drawing/2014/main" id="{2BAC2357-80BE-40D3-98D2-0863E6C3246C}"/>
              </a:ext>
            </a:extLst>
          </xdr:cNvPr>
          <xdr:cNvSpPr/>
        </xdr:nvSpPr>
        <xdr:spPr>
          <a:xfrm rot="16200000" flipV="1">
            <a:off x="12177240" y="10972750"/>
            <a:ext cx="144000" cy="360000"/>
          </a:xfrm>
          <a:prstGeom prst="bentArrow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68268</xdr:colOff>
      <xdr:row>30</xdr:row>
      <xdr:rowOff>23812</xdr:rowOff>
    </xdr:from>
    <xdr:to>
      <xdr:col>3</xdr:col>
      <xdr:colOff>1063626</xdr:colOff>
      <xdr:row>31</xdr:row>
      <xdr:rowOff>14106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761FA59-17BE-49C7-96AD-5A089AC3F9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31" b="11188"/>
        <a:stretch/>
      </xdr:blipFill>
      <xdr:spPr>
        <a:xfrm>
          <a:off x="1838331" y="7723187"/>
          <a:ext cx="995358" cy="434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76200</xdr:rowOff>
    </xdr:from>
    <xdr:ext cx="960000" cy="533650"/>
    <xdr:pic>
      <xdr:nvPicPr>
        <xdr:cNvPr id="2" name="Imagem 1">
          <a:extLst>
            <a:ext uri="{FF2B5EF4-FFF2-40B4-BE49-F238E27FC236}">
              <a16:creationId xmlns:a16="http://schemas.microsoft.com/office/drawing/2014/main" id="{078F7CC9-0704-44E2-962C-383F1DFAC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76200"/>
          <a:ext cx="960000" cy="533650"/>
        </a:xfrm>
        <a:prstGeom prst="rect">
          <a:avLst/>
        </a:prstGeom>
      </xdr:spPr>
    </xdr:pic>
    <xdr:clientData/>
  </xdr:oneCellAnchor>
  <xdr:twoCellAnchor>
    <xdr:from>
      <xdr:col>1</xdr:col>
      <xdr:colOff>318702</xdr:colOff>
      <xdr:row>1</xdr:row>
      <xdr:rowOff>196095</xdr:rowOff>
    </xdr:from>
    <xdr:to>
      <xdr:col>1</xdr:col>
      <xdr:colOff>530528</xdr:colOff>
      <xdr:row>1</xdr:row>
      <xdr:rowOff>471793</xdr:rowOff>
    </xdr:to>
    <xdr:sp macro="" textlink="">
      <xdr:nvSpPr>
        <xdr:cNvPr id="3" name="Seta: Curva para Cim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223BE-93FC-7C3D-374A-4ACDBA08C26F}"/>
            </a:ext>
          </a:extLst>
        </xdr:cNvPr>
        <xdr:cNvSpPr/>
      </xdr:nvSpPr>
      <xdr:spPr>
        <a:xfrm rot="16200000">
          <a:off x="372491" y="323281"/>
          <a:ext cx="275698" cy="211826"/>
        </a:xfrm>
        <a:prstGeom prst="curvedUpArrow">
          <a:avLst>
            <a:gd name="adj1" fmla="val 25000"/>
            <a:gd name="adj2" fmla="val 50000"/>
            <a:gd name="adj3" fmla="val 35385"/>
          </a:avLst>
        </a:prstGeom>
        <a:solidFill>
          <a:srgbClr val="C81D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49"/>
  <sheetViews>
    <sheetView showGridLines="0" tabSelected="1" zoomScale="80" zoomScaleNormal="80" zoomScaleSheetLayoutView="100" workbookViewId="0"/>
    <sheetView tabSelected="1" workbookViewId="1">
      <pane xSplit="14790" ySplit="690" topLeftCell="F2"/>
      <selection pane="topRight" activeCell="F1" sqref="F1"/>
      <selection pane="bottomLeft" activeCell="A2" sqref="A2"/>
      <selection pane="bottomRight" activeCell="F2" sqref="F2"/>
    </sheetView>
  </sheetViews>
  <sheetFormatPr defaultColWidth="9.1796875" defaultRowHeight="20.149999999999999" customHeight="1" x14ac:dyDescent="0.35"/>
  <cols>
    <col min="1" max="1" width="1.7265625" style="16" customWidth="1"/>
    <col min="2" max="2" width="20.7265625" style="25" customWidth="1"/>
    <col min="3" max="3" width="3" style="16" customWidth="1"/>
    <col min="4" max="4" width="19.453125" style="16" customWidth="1"/>
    <col min="5" max="6" width="23.7265625" style="16" customWidth="1"/>
    <col min="7" max="8" width="23.7265625" style="14" customWidth="1"/>
    <col min="9" max="9" width="1.26953125" style="14" customWidth="1"/>
    <col min="10" max="10" width="22.90625" style="14" customWidth="1"/>
    <col min="11" max="11" width="4.453125" style="14" customWidth="1"/>
    <col min="12" max="12" width="20.6328125" style="42" customWidth="1"/>
    <col min="13" max="13" width="19.90625" style="16" customWidth="1"/>
    <col min="14" max="14" width="5.6328125" style="16" customWidth="1"/>
    <col min="15" max="15" width="9.1796875" style="16"/>
    <col min="16" max="16" width="67.453125" style="15" bestFit="1" customWidth="1"/>
    <col min="17" max="17" width="12.81640625" style="15" bestFit="1" customWidth="1"/>
    <col min="18" max="16384" width="9.1796875" style="16"/>
  </cols>
  <sheetData>
    <row r="1" spans="1:17" ht="10" customHeight="1" x14ac:dyDescent="0.35">
      <c r="C1" s="29"/>
      <c r="D1" s="29"/>
      <c r="E1" s="29"/>
      <c r="F1" s="29"/>
      <c r="G1" s="39"/>
      <c r="H1" s="39"/>
      <c r="I1" s="39"/>
      <c r="J1" s="39"/>
      <c r="K1" s="39"/>
    </row>
    <row r="2" spans="1:17" ht="37.5" customHeight="1" x14ac:dyDescent="0.35">
      <c r="B2" s="36"/>
      <c r="C2" s="103" t="s">
        <v>10</v>
      </c>
      <c r="D2" s="104"/>
      <c r="E2" s="104"/>
      <c r="F2" s="104"/>
      <c r="G2" s="104"/>
      <c r="H2" s="104"/>
      <c r="I2" s="105"/>
      <c r="J2" s="106" t="s">
        <v>91</v>
      </c>
      <c r="K2" s="107"/>
      <c r="L2" s="50"/>
    </row>
    <row r="3" spans="1:17" ht="3.75" customHeight="1" x14ac:dyDescent="0.35">
      <c r="B3" s="28"/>
      <c r="C3" s="51"/>
      <c r="D3" s="51"/>
      <c r="E3" s="51"/>
      <c r="F3" s="51"/>
      <c r="G3" s="52"/>
      <c r="H3" s="52"/>
      <c r="I3" s="52"/>
      <c r="J3" s="52"/>
      <c r="K3" s="52"/>
    </row>
    <row r="4" spans="1:17" customFormat="1" ht="22.5" customHeight="1" x14ac:dyDescent="0.35">
      <c r="B4" s="40" t="s">
        <v>70</v>
      </c>
      <c r="C4" s="133"/>
      <c r="D4" s="134"/>
      <c r="E4" s="134"/>
      <c r="F4" s="134"/>
      <c r="G4" s="134"/>
      <c r="H4" s="134"/>
      <c r="I4" s="134"/>
      <c r="J4" s="134"/>
      <c r="K4" s="135"/>
      <c r="L4" s="43"/>
    </row>
    <row r="5" spans="1:17" customFormat="1" ht="22.5" customHeight="1" x14ac:dyDescent="0.35">
      <c r="B5" s="41" t="s">
        <v>46</v>
      </c>
      <c r="C5" s="133"/>
      <c r="D5" s="134"/>
      <c r="E5" s="134"/>
      <c r="F5" s="134"/>
      <c r="G5" s="134"/>
      <c r="H5" s="134"/>
      <c r="I5" s="134"/>
      <c r="J5" s="134"/>
      <c r="K5" s="135"/>
      <c r="L5" s="43"/>
    </row>
    <row r="6" spans="1:17" customFormat="1" ht="7.5" customHeight="1" x14ac:dyDescent="0.35">
      <c r="B6" s="30"/>
      <c r="C6" s="31"/>
      <c r="D6" s="31"/>
      <c r="E6" s="31"/>
      <c r="F6" s="31"/>
      <c r="G6" s="30"/>
      <c r="L6" s="43"/>
    </row>
    <row r="7" spans="1:17" ht="22.5" customHeight="1" x14ac:dyDescent="0.35">
      <c r="A7" s="32"/>
      <c r="B7" s="57" t="s">
        <v>73</v>
      </c>
      <c r="C7" s="136" t="s">
        <v>74</v>
      </c>
      <c r="D7" s="137"/>
      <c r="E7" s="137"/>
      <c r="F7" s="137"/>
      <c r="G7" s="137"/>
      <c r="H7" s="138"/>
      <c r="I7" s="48"/>
      <c r="J7" s="115" t="s">
        <v>75</v>
      </c>
      <c r="K7" s="115"/>
    </row>
    <row r="8" spans="1:17" ht="22.5" customHeight="1" x14ac:dyDescent="0.35">
      <c r="A8" s="32"/>
      <c r="B8" s="123" t="s">
        <v>3</v>
      </c>
      <c r="C8" s="56">
        <v>1</v>
      </c>
      <c r="D8" s="124" t="s">
        <v>6</v>
      </c>
      <c r="E8" s="125"/>
      <c r="F8" s="125"/>
      <c r="G8" s="125"/>
      <c r="H8" s="126"/>
      <c r="I8" s="44"/>
      <c r="J8" s="114">
        <v>2322.1601489999998</v>
      </c>
      <c r="K8" s="114"/>
      <c r="L8" s="196" t="str">
        <f>_xlfn.CONCAT("Representa um custo anual de ", DOLLAR(fCustosAnuais!$C$15,2), " por colaborador.")</f>
        <v>Representa um custo anual de R$ 50.000,00 por colaborador.</v>
      </c>
      <c r="M8" s="197"/>
    </row>
    <row r="9" spans="1:17" ht="22.5" customHeight="1" x14ac:dyDescent="0.35">
      <c r="A9" s="32"/>
      <c r="B9" s="121"/>
      <c r="C9" s="54">
        <v>2</v>
      </c>
      <c r="D9" s="111" t="s">
        <v>0</v>
      </c>
      <c r="E9" s="112"/>
      <c r="F9" s="112"/>
      <c r="G9" s="112"/>
      <c r="H9" s="113"/>
      <c r="I9" s="44"/>
      <c r="J9" s="116" t="s">
        <v>32</v>
      </c>
      <c r="K9" s="116"/>
      <c r="L9" s="196" t="s">
        <v>52</v>
      </c>
      <c r="M9" s="197"/>
    </row>
    <row r="10" spans="1:17" ht="22.5" customHeight="1" x14ac:dyDescent="0.35">
      <c r="A10" s="32"/>
      <c r="B10" s="122"/>
      <c r="C10" s="55">
        <v>3</v>
      </c>
      <c r="D10" s="127" t="s">
        <v>1</v>
      </c>
      <c r="E10" s="128"/>
      <c r="F10" s="128"/>
      <c r="G10" s="128"/>
      <c r="H10" s="129"/>
      <c r="I10" s="44"/>
      <c r="J10" s="116">
        <v>0</v>
      </c>
      <c r="K10" s="116"/>
      <c r="L10" s="196" t="s">
        <v>53</v>
      </c>
      <c r="M10" s="197"/>
    </row>
    <row r="11" spans="1:17" ht="22.5" customHeight="1" x14ac:dyDescent="0.35">
      <c r="B11" s="117" t="s">
        <v>50</v>
      </c>
      <c r="C11" s="118"/>
      <c r="D11" s="118"/>
      <c r="E11" s="118"/>
      <c r="F11" s="118"/>
      <c r="G11" s="118"/>
      <c r="H11" s="118"/>
      <c r="I11" s="119"/>
      <c r="J11" s="139">
        <f>VLOOKUP(J9,fTurnos!$B$4:$C$6,2,FALSE)*J10*fCustosAnuais!$C$15</f>
        <v>0</v>
      </c>
      <c r="K11" s="140"/>
      <c r="L11" s="196"/>
      <c r="M11" s="197"/>
    </row>
    <row r="12" spans="1:17" ht="7.5" customHeight="1" x14ac:dyDescent="0.35">
      <c r="B12" s="46"/>
      <c r="C12" s="46"/>
      <c r="D12" s="46"/>
      <c r="E12" s="46"/>
      <c r="F12" s="46"/>
      <c r="G12" s="47"/>
      <c r="H12" s="47"/>
      <c r="I12" s="27"/>
      <c r="J12" s="27"/>
      <c r="K12" s="27"/>
      <c r="L12" s="196"/>
      <c r="M12" s="197"/>
    </row>
    <row r="13" spans="1:17" ht="22.5" customHeight="1" x14ac:dyDescent="0.35">
      <c r="A13" s="32"/>
      <c r="B13" s="120" t="s">
        <v>44</v>
      </c>
      <c r="C13" s="53">
        <v>4</v>
      </c>
      <c r="D13" s="108" t="s">
        <v>47</v>
      </c>
      <c r="E13" s="109"/>
      <c r="F13" s="109"/>
      <c r="G13" s="109"/>
      <c r="H13" s="110"/>
      <c r="I13" s="44"/>
      <c r="J13" s="141">
        <v>0</v>
      </c>
      <c r="K13" s="142"/>
      <c r="L13" s="196" t="s">
        <v>54</v>
      </c>
      <c r="M13" s="197"/>
    </row>
    <row r="14" spans="1:17" ht="22.5" customHeight="1" x14ac:dyDescent="0.35">
      <c r="A14" s="32"/>
      <c r="B14" s="121"/>
      <c r="C14" s="54">
        <v>5</v>
      </c>
      <c r="D14" s="111" t="s">
        <v>65</v>
      </c>
      <c r="E14" s="112"/>
      <c r="F14" s="112"/>
      <c r="G14" s="112"/>
      <c r="H14" s="113"/>
      <c r="I14" s="44"/>
      <c r="J14" s="143">
        <v>0</v>
      </c>
      <c r="K14" s="144"/>
      <c r="L14" s="196" t="str">
        <f>_xlfn.CONCAT(TEXT(J13*(1+J14), "#0 "), "produtos por hora desejados.")</f>
        <v>0 produtos por hora desejados.</v>
      </c>
      <c r="M14" s="197"/>
    </row>
    <row r="15" spans="1:17" ht="22.5" customHeight="1" x14ac:dyDescent="0.35">
      <c r="A15" s="32"/>
      <c r="B15" s="121"/>
      <c r="C15" s="54">
        <v>6</v>
      </c>
      <c r="D15" s="111" t="s">
        <v>9</v>
      </c>
      <c r="E15" s="112"/>
      <c r="F15" s="112"/>
      <c r="G15" s="112"/>
      <c r="H15" s="113"/>
      <c r="I15" s="44"/>
      <c r="J15" s="145">
        <f>IFERROR(J11*J14,0)</f>
        <v>0</v>
      </c>
      <c r="K15" s="146"/>
      <c r="L15" s="196" t="s">
        <v>55</v>
      </c>
      <c r="M15" s="197"/>
      <c r="P15" s="16"/>
      <c r="Q15" s="16"/>
    </row>
    <row r="16" spans="1:17" ht="22.5" customHeight="1" x14ac:dyDescent="0.35">
      <c r="A16" s="45"/>
      <c r="B16" s="122"/>
      <c r="C16" s="55">
        <v>7</v>
      </c>
      <c r="D16" s="127" t="s">
        <v>35</v>
      </c>
      <c r="E16" s="128"/>
      <c r="F16" s="128"/>
      <c r="G16" s="128"/>
      <c r="H16" s="129"/>
      <c r="I16" s="44"/>
      <c r="J16" s="147">
        <v>0</v>
      </c>
      <c r="K16" s="148"/>
      <c r="L16" s="196" t="s">
        <v>56</v>
      </c>
      <c r="M16" s="197"/>
      <c r="P16" s="16"/>
      <c r="Q16" s="16"/>
    </row>
    <row r="17" spans="1:17" ht="22.5" customHeight="1" x14ac:dyDescent="0.35">
      <c r="B17" s="117" t="s">
        <v>51</v>
      </c>
      <c r="C17" s="118"/>
      <c r="D17" s="118"/>
      <c r="E17" s="118"/>
      <c r="F17" s="118"/>
      <c r="G17" s="118"/>
      <c r="H17" s="118"/>
      <c r="I17" s="119"/>
      <c r="J17" s="139">
        <f>J15+J16</f>
        <v>0</v>
      </c>
      <c r="K17" s="140"/>
      <c r="L17" s="196"/>
      <c r="M17" s="197"/>
      <c r="P17" s="16"/>
      <c r="Q17" s="16"/>
    </row>
    <row r="18" spans="1:17" ht="7.5" customHeight="1" x14ac:dyDescent="0.35">
      <c r="B18" s="46"/>
      <c r="C18" s="46"/>
      <c r="D18" s="46"/>
      <c r="E18" s="46"/>
      <c r="F18" s="46"/>
      <c r="G18" s="47"/>
      <c r="H18" s="47"/>
      <c r="I18" s="27"/>
      <c r="J18" s="27"/>
      <c r="K18" s="27"/>
      <c r="L18" s="196"/>
      <c r="M18" s="197"/>
      <c r="P18" s="16"/>
      <c r="Q18" s="16"/>
    </row>
    <row r="19" spans="1:17" ht="22.5" customHeight="1" x14ac:dyDescent="0.35">
      <c r="A19" s="32"/>
      <c r="B19" s="120" t="s">
        <v>71</v>
      </c>
      <c r="C19" s="53">
        <v>8</v>
      </c>
      <c r="D19" s="108" t="s">
        <v>2</v>
      </c>
      <c r="E19" s="109"/>
      <c r="F19" s="109"/>
      <c r="G19" s="109"/>
      <c r="H19" s="110"/>
      <c r="I19" s="44"/>
      <c r="J19" s="143">
        <v>0</v>
      </c>
      <c r="K19" s="144"/>
      <c r="L19" s="196" t="s">
        <v>57</v>
      </c>
      <c r="M19" s="197"/>
      <c r="P19" s="16"/>
      <c r="Q19" s="16"/>
    </row>
    <row r="20" spans="1:17" ht="22.5" customHeight="1" x14ac:dyDescent="0.35">
      <c r="A20" s="32"/>
      <c r="B20" s="121"/>
      <c r="C20" s="54">
        <v>9</v>
      </c>
      <c r="D20" s="111" t="s">
        <v>27</v>
      </c>
      <c r="E20" s="112"/>
      <c r="F20" s="112"/>
      <c r="G20" s="112"/>
      <c r="H20" s="113"/>
      <c r="I20" s="44"/>
      <c r="J20" s="149">
        <v>0</v>
      </c>
      <c r="K20" s="150"/>
      <c r="L20" s="196" t="s">
        <v>60</v>
      </c>
      <c r="M20" s="197"/>
    </row>
    <row r="21" spans="1:17" ht="22.5" customHeight="1" x14ac:dyDescent="0.35">
      <c r="A21" s="45"/>
      <c r="B21" s="122"/>
      <c r="C21" s="55">
        <v>10</v>
      </c>
      <c r="D21" s="127" t="s">
        <v>28</v>
      </c>
      <c r="E21" s="128"/>
      <c r="F21" s="128"/>
      <c r="G21" s="128"/>
      <c r="H21" s="129"/>
      <c r="I21" s="49"/>
      <c r="J21" s="63" t="s">
        <v>66</v>
      </c>
      <c r="K21" s="33" t="s">
        <v>36</v>
      </c>
      <c r="L21" s="196" t="s">
        <v>58</v>
      </c>
      <c r="M21" s="197"/>
    </row>
    <row r="22" spans="1:17" ht="22.5" customHeight="1" x14ac:dyDescent="0.35">
      <c r="B22" s="117" t="s">
        <v>49</v>
      </c>
      <c r="C22" s="118"/>
      <c r="D22" s="118"/>
      <c r="E22" s="118"/>
      <c r="F22" s="118"/>
      <c r="G22" s="118"/>
      <c r="H22" s="118"/>
      <c r="I22" s="119"/>
      <c r="J22" s="151">
        <f>J19*J11+J20*VLOOKUP(J21,Indenização!$C$4:$F$7,3,FALSE)*Questionário!J8*VLOOKUP(Questionário!J9,fTurnos!$B$4:$C$6,2,FALSE)*Questionário!J10</f>
        <v>0</v>
      </c>
      <c r="K22" s="152"/>
      <c r="L22" s="196"/>
      <c r="M22" s="197"/>
    </row>
    <row r="23" spans="1:17" ht="7.5" customHeight="1" x14ac:dyDescent="0.35">
      <c r="B23" s="46"/>
      <c r="C23" s="46"/>
      <c r="D23" s="46"/>
      <c r="E23" s="46"/>
      <c r="F23" s="46"/>
      <c r="G23" s="47"/>
      <c r="H23" s="47"/>
      <c r="I23" s="27"/>
      <c r="J23" s="27"/>
      <c r="K23" s="27"/>
    </row>
    <row r="24" spans="1:17" ht="22.5" customHeight="1" x14ac:dyDescent="0.35">
      <c r="A24" s="32"/>
      <c r="B24" s="120" t="s">
        <v>72</v>
      </c>
      <c r="C24" s="53">
        <v>11</v>
      </c>
      <c r="D24" s="108" t="s">
        <v>4</v>
      </c>
      <c r="E24" s="109"/>
      <c r="F24" s="109"/>
      <c r="G24" s="109"/>
      <c r="H24" s="110"/>
      <c r="I24" s="26"/>
      <c r="J24" s="202">
        <v>0</v>
      </c>
      <c r="K24" s="203"/>
      <c r="L24" s="34" t="s">
        <v>59</v>
      </c>
    </row>
    <row r="25" spans="1:17" ht="22.5" customHeight="1" x14ac:dyDescent="0.35">
      <c r="A25" s="32"/>
      <c r="B25" s="121"/>
      <c r="C25" s="54">
        <v>12</v>
      </c>
      <c r="D25" s="111" t="s">
        <v>30</v>
      </c>
      <c r="E25" s="112"/>
      <c r="F25" s="112"/>
      <c r="G25" s="112"/>
      <c r="H25" s="113"/>
      <c r="I25" s="26"/>
      <c r="J25" s="147">
        <v>0</v>
      </c>
      <c r="K25" s="148"/>
      <c r="L25" s="34" t="s">
        <v>64</v>
      </c>
    </row>
    <row r="26" spans="1:17" ht="22.5" customHeight="1" x14ac:dyDescent="0.35">
      <c r="A26" s="32"/>
      <c r="B26" s="121"/>
      <c r="C26" s="54">
        <v>13</v>
      </c>
      <c r="D26" s="111" t="s">
        <v>5</v>
      </c>
      <c r="E26" s="112"/>
      <c r="F26" s="112"/>
      <c r="G26" s="112"/>
      <c r="H26" s="113"/>
      <c r="I26" s="26"/>
      <c r="J26" s="147">
        <v>0</v>
      </c>
      <c r="K26" s="148"/>
      <c r="L26" s="34" t="s">
        <v>61</v>
      </c>
    </row>
    <row r="27" spans="1:17" ht="22.5" customHeight="1" x14ac:dyDescent="0.35">
      <c r="A27" s="32"/>
      <c r="B27" s="121"/>
      <c r="C27" s="54">
        <v>14</v>
      </c>
      <c r="D27" s="111" t="s">
        <v>31</v>
      </c>
      <c r="E27" s="112"/>
      <c r="F27" s="112"/>
      <c r="G27" s="112"/>
      <c r="H27" s="113"/>
      <c r="I27" s="26"/>
      <c r="J27" s="147">
        <v>0</v>
      </c>
      <c r="K27" s="148"/>
      <c r="L27" s="34" t="s">
        <v>62</v>
      </c>
    </row>
    <row r="28" spans="1:17" ht="22.5" customHeight="1" x14ac:dyDescent="0.35">
      <c r="A28" s="32"/>
      <c r="B28" s="122"/>
      <c r="C28" s="55">
        <v>15</v>
      </c>
      <c r="D28" s="127" t="s">
        <v>29</v>
      </c>
      <c r="E28" s="128"/>
      <c r="F28" s="128"/>
      <c r="G28" s="128"/>
      <c r="H28" s="129"/>
      <c r="I28" s="26"/>
      <c r="J28" s="147">
        <v>0</v>
      </c>
      <c r="K28" s="148"/>
      <c r="L28" s="34" t="s">
        <v>63</v>
      </c>
    </row>
    <row r="29" spans="1:17" ht="22.5" customHeight="1" x14ac:dyDescent="0.35">
      <c r="B29" s="117" t="s">
        <v>48</v>
      </c>
      <c r="C29" s="118"/>
      <c r="D29" s="118"/>
      <c r="E29" s="118"/>
      <c r="F29" s="118"/>
      <c r="G29" s="118"/>
      <c r="H29" s="118"/>
      <c r="I29" s="119"/>
      <c r="J29" s="200">
        <f>J24*VLOOKUP(J9,fTurnos!$B$4:$C$6,2,FALSE)*fCustosAnuais!$C$15+SUM(J25:J28)*12</f>
        <v>0</v>
      </c>
      <c r="K29" s="201"/>
      <c r="L29" s="35"/>
    </row>
    <row r="30" spans="1:17" ht="30" customHeight="1" x14ac:dyDescent="0.35">
      <c r="C30" s="29"/>
      <c r="D30" s="29"/>
      <c r="E30" s="29"/>
      <c r="F30" s="29"/>
      <c r="G30" s="39"/>
      <c r="H30" s="39"/>
      <c r="I30" s="39"/>
      <c r="J30" s="39"/>
      <c r="K30" s="39"/>
      <c r="L30" s="60"/>
    </row>
    <row r="31" spans="1:17" ht="35" customHeight="1" x14ac:dyDescent="0.35">
      <c r="B31" s="36"/>
      <c r="D31" s="94"/>
      <c r="E31" s="204" t="s">
        <v>81</v>
      </c>
      <c r="F31" s="205"/>
      <c r="G31" s="205"/>
      <c r="H31" s="205"/>
      <c r="I31" s="205"/>
      <c r="J31" s="205"/>
      <c r="K31" s="205"/>
      <c r="L31" s="206"/>
      <c r="M31" s="59"/>
    </row>
    <row r="32" spans="1:17" customFormat="1" ht="3.75" customHeight="1" x14ac:dyDescent="0.35">
      <c r="C32" s="58"/>
      <c r="D32" s="58"/>
      <c r="L32" s="65"/>
    </row>
    <row r="33" spans="2:17" ht="24" x14ac:dyDescent="0.35">
      <c r="B33" s="36"/>
      <c r="C33" s="207" t="s">
        <v>83</v>
      </c>
      <c r="D33" s="208"/>
      <c r="E33" s="208"/>
      <c r="F33" s="208"/>
      <c r="G33" s="208"/>
      <c r="H33" s="209"/>
      <c r="I33" s="62"/>
      <c r="J33" s="68" t="s">
        <v>90</v>
      </c>
      <c r="K33" s="198" t="s">
        <v>82</v>
      </c>
      <c r="L33" s="199"/>
      <c r="M33" s="59"/>
    </row>
    <row r="34" spans="2:17" ht="22.5" customHeight="1" x14ac:dyDescent="0.35">
      <c r="B34" s="36"/>
      <c r="C34" s="166" t="s">
        <v>77</v>
      </c>
      <c r="D34" s="167"/>
      <c r="E34" s="176" t="str">
        <f>_xlfn.CONCAT("Custo por colaborador estimado em ", DOLLAR(fCustosAnuais!$C$15,2))</f>
        <v>Custo por colaborador estimado em R$ 50.000,00</v>
      </c>
      <c r="F34" s="93" t="str">
        <f>"Regime de " &amp; J9</f>
        <v>Regime de 1 turno</v>
      </c>
      <c r="G34" s="178">
        <f>VLOOKUP(J9,fTurnos!$B$4:$C$6,2,FALSE)*F35</f>
        <v>0</v>
      </c>
      <c r="H34" s="158">
        <f>J11</f>
        <v>0</v>
      </c>
      <c r="I34" s="62"/>
      <c r="J34" s="160">
        <v>0</v>
      </c>
      <c r="K34" s="162">
        <f>H34-J34*fCustosAnuais!$C$15*VLOOKUP(J9,fTurnos!$B$4:$C$6,2,FALSE)</f>
        <v>0</v>
      </c>
      <c r="L34" s="163"/>
      <c r="M34" s="59"/>
    </row>
    <row r="35" spans="2:17" ht="22.5" customHeight="1" x14ac:dyDescent="0.35">
      <c r="B35" s="36"/>
      <c r="C35" s="168"/>
      <c r="D35" s="169"/>
      <c r="E35" s="177"/>
      <c r="F35" s="71">
        <f>J10</f>
        <v>0</v>
      </c>
      <c r="G35" s="179"/>
      <c r="H35" s="159"/>
      <c r="I35" s="62"/>
      <c r="J35" s="161"/>
      <c r="K35" s="164"/>
      <c r="L35" s="165"/>
      <c r="M35" s="59"/>
    </row>
    <row r="36" spans="2:17" ht="22.5" customHeight="1" x14ac:dyDescent="0.35">
      <c r="B36" s="36"/>
      <c r="C36" s="153" t="s">
        <v>78</v>
      </c>
      <c r="D36" s="154"/>
      <c r="E36" s="69" t="str">
        <f>_xlfn.CONCAT("Produção atual de ", J13, " pph")</f>
        <v>Produção atual de 0 pph</v>
      </c>
      <c r="F36" s="180" t="str">
        <f>_xlfn.CONCAT(TEXT(J14*G34,"0#,0"), " colaborador(es) adicional(s) com custo anual de ", DOLLAR(J14*G34*fCustosAnuais!$C$15,2))</f>
        <v>0,0 colaborador(es) adicional(s) com custo anual de R$ 0,00</v>
      </c>
      <c r="G36" s="181" t="str">
        <f>_xlfn.CONCAT(DOLLAR(J16,2), " com ferramentas, equipamentos e espaço fabril")</f>
        <v>R$ 0,00 com ferramentas, equipamentos e espaço fabril</v>
      </c>
      <c r="H36" s="157">
        <f>J17</f>
        <v>0</v>
      </c>
      <c r="I36" s="62"/>
      <c r="J36" s="170">
        <v>0</v>
      </c>
      <c r="K36" s="162">
        <f>H36*(1-J36)</f>
        <v>0</v>
      </c>
      <c r="L36" s="163"/>
      <c r="M36" s="59"/>
    </row>
    <row r="37" spans="2:17" ht="22.5" customHeight="1" x14ac:dyDescent="0.35">
      <c r="B37" s="36"/>
      <c r="C37" s="168"/>
      <c r="D37" s="169"/>
      <c r="E37" s="69" t="str">
        <f>_xlfn.CONCAT("Produção futura de ", TEXT(J13*(1+J14),"0#"), " pph")</f>
        <v>Produção futura de 0 pph</v>
      </c>
      <c r="F37" s="180"/>
      <c r="G37" s="181"/>
      <c r="H37" s="159"/>
      <c r="I37" s="62"/>
      <c r="J37" s="216"/>
      <c r="K37" s="164"/>
      <c r="L37" s="165"/>
      <c r="M37" s="59"/>
    </row>
    <row r="38" spans="2:17" ht="22.5" customHeight="1" x14ac:dyDescent="0.35">
      <c r="B38" s="36"/>
      <c r="C38" s="153" t="s">
        <v>80</v>
      </c>
      <c r="D38" s="154"/>
      <c r="E38" s="210" t="str">
        <f>_xlfn.CONCAT(TEXT(J19, "#0%"), " de taxa de absenteísmo por LER")</f>
        <v>0% de taxa de absenteísmo por LER</v>
      </c>
      <c r="F38" s="212" t="str">
        <f>_xlfn.CONCAT(TEXT(J20,"0#%"), " de chance de acidente de trabalho")</f>
        <v>0% de chance de acidente de trabalho</v>
      </c>
      <c r="G38" s="214" t="str">
        <f>_xlfn.CONCAT("Classificação de indenização em caso de acidente: ", J21)</f>
        <v>Classificação de indenização em caso de acidente: LEVE</v>
      </c>
      <c r="H38" s="157">
        <f>J22</f>
        <v>0</v>
      </c>
      <c r="I38" s="62"/>
      <c r="J38" s="170">
        <v>0</v>
      </c>
      <c r="K38" s="162">
        <f>H38*(1-J38)</f>
        <v>0</v>
      </c>
      <c r="L38" s="163"/>
      <c r="M38" s="59"/>
    </row>
    <row r="39" spans="2:17" ht="22.5" customHeight="1" x14ac:dyDescent="0.35">
      <c r="B39" s="36"/>
      <c r="C39" s="168"/>
      <c r="D39" s="169"/>
      <c r="E39" s="211"/>
      <c r="F39" s="213"/>
      <c r="G39" s="215"/>
      <c r="H39" s="159"/>
      <c r="I39" s="62"/>
      <c r="J39" s="216"/>
      <c r="K39" s="164"/>
      <c r="L39" s="165"/>
      <c r="M39" s="59"/>
    </row>
    <row r="40" spans="2:17" ht="22.5" customHeight="1" x14ac:dyDescent="0.35">
      <c r="B40" s="36"/>
      <c r="C40" s="153" t="s">
        <v>79</v>
      </c>
      <c r="D40" s="154"/>
      <c r="E40" s="72" t="str">
        <f>_xlfn.CONCAT(J24, " colaborador(s) dedicado para inspeção")</f>
        <v>0 colaborador(s) dedicado para inspeção</v>
      </c>
      <c r="F40" s="70" t="str">
        <f>_xlfn.CONCAT("Custo anual com defeitos em campo: ", DOLLAR(J26*12, 2))</f>
        <v>Custo anual com defeitos em campo: R$ 0,00</v>
      </c>
      <c r="G40" s="174" t="str">
        <f>_xlfn.CONCAT("Custo(s) anual(s) adicional com problemas em qualidade: ", DOLLAR(J28*12,2))</f>
        <v>Custo(s) anual(s) adicional com problemas em qualidade: R$ 0,00</v>
      </c>
      <c r="H40" s="157">
        <f>J29</f>
        <v>0</v>
      </c>
      <c r="I40" s="62"/>
      <c r="J40" s="170">
        <v>0</v>
      </c>
      <c r="K40" s="162">
        <f>H40*(1-J40)</f>
        <v>0</v>
      </c>
      <c r="L40" s="163"/>
      <c r="M40" s="59"/>
    </row>
    <row r="41" spans="2:17" ht="22.5" customHeight="1" x14ac:dyDescent="0.35">
      <c r="B41" s="36"/>
      <c r="C41" s="155"/>
      <c r="D41" s="156"/>
      <c r="E41" s="73" t="str">
        <f>_xlfn.CONCAT("Custo anual com perda de matéria-prima: ", DOLLAR(J25*12,2))</f>
        <v>Custo anual com perda de matéria-prima: R$ 0,00</v>
      </c>
      <c r="F41" s="74" t="str">
        <f>_xlfn.CONCAT("Custo anual com retrabalho ou assistência: ", DOLLAR(J27*12,2))</f>
        <v>Custo anual com retrabalho ou assistência: R$ 0,00</v>
      </c>
      <c r="G41" s="175"/>
      <c r="H41" s="158"/>
      <c r="I41" s="66"/>
      <c r="J41" s="171"/>
      <c r="K41" s="172"/>
      <c r="L41" s="173"/>
      <c r="M41" s="59"/>
    </row>
    <row r="42" spans="2:17" ht="25" customHeight="1" x14ac:dyDescent="0.35">
      <c r="B42" s="36"/>
      <c r="C42" s="97" t="s">
        <v>86</v>
      </c>
      <c r="D42" s="98"/>
      <c r="E42" s="98"/>
      <c r="F42" s="98"/>
      <c r="G42" s="99"/>
      <c r="H42" s="75">
        <f>SUM(H34:H40)</f>
        <v>0</v>
      </c>
      <c r="I42" s="79"/>
      <c r="J42" s="81">
        <f>IFERROR(1-K42/H42,0)</f>
        <v>0</v>
      </c>
      <c r="K42" s="130">
        <f>SUM(K34:L41)</f>
        <v>0</v>
      </c>
      <c r="L42" s="131"/>
      <c r="M42" s="59"/>
    </row>
    <row r="43" spans="2:17" ht="25" customHeight="1" x14ac:dyDescent="0.35">
      <c r="B43" s="36"/>
      <c r="C43" s="83"/>
      <c r="D43" s="84"/>
      <c r="E43" s="84"/>
      <c r="F43" s="84"/>
      <c r="G43" s="85"/>
      <c r="H43" s="100" t="s">
        <v>84</v>
      </c>
      <c r="I43" s="101"/>
      <c r="J43" s="101"/>
      <c r="K43" s="101"/>
      <c r="L43" s="102"/>
      <c r="M43" s="59"/>
    </row>
    <row r="44" spans="2:17" s="76" customFormat="1" ht="25" customHeight="1" x14ac:dyDescent="0.35">
      <c r="B44" s="77"/>
      <c r="C44" s="91"/>
      <c r="D44" s="91"/>
      <c r="E44" s="86"/>
      <c r="F44" s="91"/>
      <c r="G44" s="91"/>
      <c r="H44" s="88"/>
      <c r="I44" s="89"/>
      <c r="J44" s="90" t="s">
        <v>85</v>
      </c>
      <c r="K44" s="95">
        <f>H42-K42</f>
        <v>0</v>
      </c>
      <c r="L44" s="96"/>
      <c r="M44" s="80"/>
      <c r="P44" s="78"/>
      <c r="Q44" s="78"/>
    </row>
    <row r="45" spans="2:17" customFormat="1" ht="3.75" customHeight="1" x14ac:dyDescent="0.35">
      <c r="C45" s="58"/>
      <c r="D45" s="58"/>
      <c r="E45" s="87"/>
      <c r="F45" s="58"/>
      <c r="G45" s="58"/>
      <c r="H45" s="58"/>
      <c r="I45" s="58"/>
      <c r="J45" s="58"/>
      <c r="K45" s="132"/>
      <c r="L45" s="132"/>
    </row>
    <row r="46" spans="2:17" ht="22.5" customHeight="1" x14ac:dyDescent="0.35">
      <c r="B46" s="36"/>
      <c r="C46" s="182" t="s">
        <v>76</v>
      </c>
      <c r="D46" s="183"/>
      <c r="E46" s="183"/>
      <c r="F46" s="183"/>
      <c r="G46" s="183"/>
      <c r="H46" s="183"/>
      <c r="I46" s="183"/>
      <c r="J46" s="183"/>
      <c r="K46" s="183"/>
      <c r="L46" s="184"/>
      <c r="M46" s="59"/>
    </row>
    <row r="47" spans="2:17" ht="22.5" customHeight="1" x14ac:dyDescent="0.35">
      <c r="B47" s="36"/>
      <c r="C47" s="185">
        <v>1</v>
      </c>
      <c r="D47" s="186"/>
      <c r="E47" s="67">
        <v>2</v>
      </c>
      <c r="F47" s="67">
        <v>3</v>
      </c>
      <c r="G47" s="67">
        <v>5</v>
      </c>
      <c r="H47" s="67">
        <v>6</v>
      </c>
      <c r="I47" s="187">
        <v>8</v>
      </c>
      <c r="J47" s="188"/>
      <c r="K47" s="191">
        <v>10</v>
      </c>
      <c r="L47" s="192"/>
      <c r="M47" s="59"/>
    </row>
    <row r="48" spans="2:17" ht="22.5" customHeight="1" x14ac:dyDescent="0.35">
      <c r="B48" s="36"/>
      <c r="C48" s="194">
        <f>C47*($H$42-$K$42)</f>
        <v>0</v>
      </c>
      <c r="D48" s="195"/>
      <c r="E48" s="64">
        <f>E47*($H$42-$K$42)</f>
        <v>0</v>
      </c>
      <c r="F48" s="64">
        <f>F47*($H$42-$K$42)</f>
        <v>0</v>
      </c>
      <c r="G48" s="64">
        <f>G47*($H$42-$K$42)</f>
        <v>0</v>
      </c>
      <c r="H48" s="64">
        <f>H47*($H$42-$K$42)</f>
        <v>0</v>
      </c>
      <c r="I48" s="189">
        <f>I47*($H$42-$K$42)</f>
        <v>0</v>
      </c>
      <c r="J48" s="190"/>
      <c r="K48" s="189">
        <f>K47*($H$42-$K$42)</f>
        <v>0</v>
      </c>
      <c r="L48" s="193"/>
      <c r="M48" s="59"/>
    </row>
    <row r="49" spans="3:12" ht="20.149999999999999" customHeight="1" x14ac:dyDescent="0.35">
      <c r="C49" s="37"/>
      <c r="D49" s="37"/>
      <c r="E49" s="37"/>
      <c r="F49" s="37"/>
      <c r="G49" s="38"/>
      <c r="H49" s="38"/>
      <c r="I49" s="38"/>
      <c r="J49" s="38"/>
      <c r="K49" s="38"/>
      <c r="L49" s="61"/>
    </row>
  </sheetData>
  <sheetProtection selectLockedCells="1"/>
  <customSheetViews>
    <customSheetView guid="{C1D6E6E4-C31B-4F7E-8809-B20788FC97D3}" showGridLines="0" hiddenColumns="1" topLeftCell="A17">
      <selection activeCell="F31" sqref="F31"/>
    </customSheetView>
  </customSheetViews>
  <mergeCells count="101">
    <mergeCell ref="G38:G39"/>
    <mergeCell ref="K34:L35"/>
    <mergeCell ref="J36:J37"/>
    <mergeCell ref="J38:J39"/>
    <mergeCell ref="K38:L39"/>
    <mergeCell ref="C46:L46"/>
    <mergeCell ref="C47:D47"/>
    <mergeCell ref="I47:J47"/>
    <mergeCell ref="I48:J48"/>
    <mergeCell ref="K47:L47"/>
    <mergeCell ref="K48:L48"/>
    <mergeCell ref="C48:D48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K33:L33"/>
    <mergeCell ref="J27:K27"/>
    <mergeCell ref="K45:L45"/>
    <mergeCell ref="C4:K4"/>
    <mergeCell ref="C5:K5"/>
    <mergeCell ref="C7:H7"/>
    <mergeCell ref="J11:K11"/>
    <mergeCell ref="J13:K13"/>
    <mergeCell ref="J14:K14"/>
    <mergeCell ref="J15:K15"/>
    <mergeCell ref="J16:K16"/>
    <mergeCell ref="J17:K17"/>
    <mergeCell ref="J19:K19"/>
    <mergeCell ref="J20:K20"/>
    <mergeCell ref="J22:K22"/>
    <mergeCell ref="C40:D41"/>
    <mergeCell ref="H40:H41"/>
    <mergeCell ref="H34:H35"/>
    <mergeCell ref="J34:J35"/>
    <mergeCell ref="K36:L37"/>
    <mergeCell ref="C34:D35"/>
    <mergeCell ref="C36:D37"/>
    <mergeCell ref="C38:D39"/>
    <mergeCell ref="H36:H37"/>
    <mergeCell ref="H38:H39"/>
    <mergeCell ref="J40:J41"/>
    <mergeCell ref="D27:H27"/>
    <mergeCell ref="D28:H28"/>
    <mergeCell ref="D15:H15"/>
    <mergeCell ref="B22:I22"/>
    <mergeCell ref="B19:B21"/>
    <mergeCell ref="D19:H19"/>
    <mergeCell ref="D20:H20"/>
    <mergeCell ref="D21:H21"/>
    <mergeCell ref="K42:L42"/>
    <mergeCell ref="K40:L41"/>
    <mergeCell ref="G40:G41"/>
    <mergeCell ref="E34:E35"/>
    <mergeCell ref="G34:G35"/>
    <mergeCell ref="F36:F37"/>
    <mergeCell ref="G36:G37"/>
    <mergeCell ref="J28:K28"/>
    <mergeCell ref="J29:K29"/>
    <mergeCell ref="J24:K24"/>
    <mergeCell ref="J25:K25"/>
    <mergeCell ref="J26:K26"/>
    <mergeCell ref="E31:L31"/>
    <mergeCell ref="C33:H33"/>
    <mergeCell ref="E38:E39"/>
    <mergeCell ref="F38:F39"/>
    <mergeCell ref="K44:L44"/>
    <mergeCell ref="C42:G42"/>
    <mergeCell ref="H43:L43"/>
    <mergeCell ref="C2:I2"/>
    <mergeCell ref="J2:K2"/>
    <mergeCell ref="D24:H24"/>
    <mergeCell ref="D25:H25"/>
    <mergeCell ref="D26:H26"/>
    <mergeCell ref="J8:K8"/>
    <mergeCell ref="J7:K7"/>
    <mergeCell ref="J9:K9"/>
    <mergeCell ref="J10:K10"/>
    <mergeCell ref="B17:I17"/>
    <mergeCell ref="B13:B16"/>
    <mergeCell ref="B8:B10"/>
    <mergeCell ref="B11:I11"/>
    <mergeCell ref="D8:H8"/>
    <mergeCell ref="D9:H9"/>
    <mergeCell ref="D10:H10"/>
    <mergeCell ref="D13:H13"/>
    <mergeCell ref="D14:H14"/>
    <mergeCell ref="D16:H16"/>
    <mergeCell ref="B29:I29"/>
    <mergeCell ref="B24:B28"/>
  </mergeCells>
  <phoneticPr fontId="11" type="noConversion"/>
  <hyperlinks>
    <hyperlink ref="K21" location="Indenização!A1" display="?" xr:uid="{3C20E000-D9E3-4194-927F-3494B5CB0D38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58124B15-4EFA-4D7F-906D-A5BAF335F26D}">
          <x14:formula1>
            <xm:f>fTurnos!$B$4:$B$6</xm:f>
          </x14:formula1>
          <xm:sqref>J9</xm:sqref>
        </x14:dataValidation>
        <x14:dataValidation type="list" allowBlank="1" showInputMessage="1" showErrorMessage="1" xr:uid="{DBB03C24-B556-475F-A96B-6B0430DC530E}">
          <x14:formula1>
            <xm:f>Indenização!$C$4:$C$7</xm:f>
          </x14:formula1>
          <xm:sqref>G21:J21</xm:sqref>
        </x14:dataValidation>
        <x14:dataValidation type="list" allowBlank="1" showInputMessage="1" showErrorMessage="1" xr:uid="{AF856A1E-66DF-43D4-B3CC-5C73A7EF577F}">
          <x14:formula1>
            <xm:f>fColaboradores!$F$3:$F$103</xm:f>
          </x14:formula1>
          <xm:sqref>J34:J35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78DB-B6AB-4FB4-AC02-0952E828672D}">
  <sheetPr codeName="Planilha1"/>
  <dimension ref="B1:F7"/>
  <sheetViews>
    <sheetView zoomScaleNormal="100" workbookViewId="0"/>
    <sheetView workbookViewId="1"/>
  </sheetViews>
  <sheetFormatPr defaultColWidth="9.1796875" defaultRowHeight="14.5" x14ac:dyDescent="0.35"/>
  <cols>
    <col min="1" max="1" width="1.26953125" style="7" customWidth="1"/>
    <col min="2" max="2" width="12" style="7" customWidth="1"/>
    <col min="3" max="3" width="15.7265625" style="7" customWidth="1"/>
    <col min="4" max="4" width="53.26953125" style="15" customWidth="1"/>
    <col min="5" max="5" width="12.81640625" style="7" hidden="1" customWidth="1"/>
    <col min="6" max="6" width="53.26953125" style="7" customWidth="1"/>
    <col min="7" max="16384" width="9.1796875" style="7"/>
  </cols>
  <sheetData>
    <row r="1" spans="2:6" ht="7.5" customHeight="1" x14ac:dyDescent="0.35"/>
    <row r="2" spans="2:6" s="20" customFormat="1" ht="37.5" customHeight="1" x14ac:dyDescent="0.35">
      <c r="D2" s="217" t="s">
        <v>7</v>
      </c>
      <c r="E2" s="218"/>
      <c r="F2" s="219"/>
    </row>
    <row r="3" spans="2:6" ht="30" customHeight="1" x14ac:dyDescent="0.35">
      <c r="B3" s="220" t="s">
        <v>45</v>
      </c>
      <c r="C3" s="24" t="s">
        <v>37</v>
      </c>
      <c r="D3" s="24" t="s">
        <v>38</v>
      </c>
      <c r="E3" s="21" t="s">
        <v>8</v>
      </c>
      <c r="F3" s="21" t="s">
        <v>43</v>
      </c>
    </row>
    <row r="4" spans="2:6" ht="30" customHeight="1" x14ac:dyDescent="0.35">
      <c r="B4" s="221"/>
      <c r="C4" s="22" t="s">
        <v>66</v>
      </c>
      <c r="D4" s="22" t="s">
        <v>39</v>
      </c>
      <c r="E4" s="22">
        <v>3</v>
      </c>
      <c r="F4" s="23" t="str">
        <f>CONCATENATE(TEXT(E4*fCustosAnuais!$C$3,"R$ #.###,00"), " (3x de ", DOLLAR(fCustosAnuais!$C$3,2), ")")</f>
        <v>R$ 6.966,48 (3x de R$ 2.322,16)</v>
      </c>
    </row>
    <row r="5" spans="2:6" ht="30" customHeight="1" x14ac:dyDescent="0.35">
      <c r="C5" s="22" t="s">
        <v>67</v>
      </c>
      <c r="D5" s="22" t="s">
        <v>40</v>
      </c>
      <c r="E5" s="22">
        <v>5</v>
      </c>
      <c r="F5" s="23" t="str">
        <f>CONCATENATE(TEXT(E5*fCustosAnuais!$C$3,"R$ #.###,00"), " (5x de ", DOLLAR(fCustosAnuais!$C$3,2), ")")</f>
        <v>R$ 11.610,80 (5x de R$ 2.322,16)</v>
      </c>
    </row>
    <row r="6" spans="2:6" ht="30" customHeight="1" x14ac:dyDescent="0.35">
      <c r="C6" s="22" t="s">
        <v>68</v>
      </c>
      <c r="D6" s="22" t="s">
        <v>41</v>
      </c>
      <c r="E6" s="22">
        <v>20</v>
      </c>
      <c r="F6" s="23" t="str">
        <f>CONCATENATE(TEXT(E6*fCustosAnuais!$C$3,"R$ #.###,00"), " (20x de ", DOLLAR(fCustosAnuais!$C$3,2), ")")</f>
        <v>R$ 46.443,20 (20x de R$ 2.322,16)</v>
      </c>
    </row>
    <row r="7" spans="2:6" ht="30" customHeight="1" x14ac:dyDescent="0.35">
      <c r="C7" s="22" t="s">
        <v>69</v>
      </c>
      <c r="D7" s="22" t="s">
        <v>42</v>
      </c>
      <c r="E7" s="22">
        <v>50</v>
      </c>
      <c r="F7" s="23" t="str">
        <f>CONCATENATE(TEXT(E7*fCustosAnuais!$C$3,"R$ #.###,00"), " (Até 50x de ", DOLLAR(fCustosAnuais!$C$3,2), ")")</f>
        <v>R$ 116.108,01 (Até 50x de R$ 2.322,16)</v>
      </c>
    </row>
  </sheetData>
  <sheetProtection selectLockedCells="1" selectUnlockedCells="1"/>
  <mergeCells count="2">
    <mergeCell ref="D2:F2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84FB2-35A5-48DB-B639-387F8F46710C}">
  <sheetPr codeName="Planilha5"/>
  <dimension ref="A1:D16"/>
  <sheetViews>
    <sheetView workbookViewId="0"/>
    <sheetView workbookViewId="1"/>
  </sheetViews>
  <sheetFormatPr defaultColWidth="9.1796875" defaultRowHeight="14.5" x14ac:dyDescent="0.35"/>
  <cols>
    <col min="1" max="1" width="1.26953125" style="2" customWidth="1"/>
    <col min="2" max="2" width="33.1796875" style="2" bestFit="1" customWidth="1"/>
    <col min="3" max="3" width="12.7265625" style="2" bestFit="1" customWidth="1"/>
    <col min="4" max="16384" width="9.1796875" style="2"/>
  </cols>
  <sheetData>
    <row r="1" spans="1:4" ht="7.5" customHeight="1" x14ac:dyDescent="0.35">
      <c r="B1" s="4"/>
      <c r="C1" s="4"/>
    </row>
    <row r="2" spans="1:4" x14ac:dyDescent="0.35">
      <c r="A2" s="3"/>
      <c r="B2" s="222" t="s">
        <v>11</v>
      </c>
      <c r="C2" s="222"/>
      <c r="D2" s="1"/>
    </row>
    <row r="3" spans="1:4" x14ac:dyDescent="0.35">
      <c r="A3" s="3"/>
      <c r="B3" s="5" t="s">
        <v>12</v>
      </c>
      <c r="C3" s="5">
        <f>Questionário!J8</f>
        <v>2322.1601489999998</v>
      </c>
      <c r="D3" s="1"/>
    </row>
    <row r="4" spans="1:4" x14ac:dyDescent="0.35">
      <c r="A4" s="3"/>
      <c r="B4" s="5" t="s">
        <v>13</v>
      </c>
      <c r="C4" s="5">
        <f>C3/12</f>
        <v>193.51334574999998</v>
      </c>
      <c r="D4" s="1"/>
    </row>
    <row r="5" spans="1:4" x14ac:dyDescent="0.35">
      <c r="A5" s="3"/>
      <c r="B5" s="5" t="s">
        <v>14</v>
      </c>
      <c r="C5" s="5">
        <f>C3/3/12</f>
        <v>64.504448583333328</v>
      </c>
      <c r="D5" s="1"/>
    </row>
    <row r="6" spans="1:4" x14ac:dyDescent="0.35">
      <c r="A6" s="3"/>
      <c r="B6" s="5" t="s">
        <v>15</v>
      </c>
      <c r="C6" s="5">
        <f>C3*8%</f>
        <v>185.77281191999998</v>
      </c>
      <c r="D6" s="1"/>
    </row>
    <row r="7" spans="1:4" x14ac:dyDescent="0.35">
      <c r="A7" s="3"/>
      <c r="B7" s="5" t="s">
        <v>16</v>
      </c>
      <c r="C7" s="5">
        <f>(C4+C5)*8%</f>
        <v>20.641423546666665</v>
      </c>
      <c r="D7" s="1"/>
    </row>
    <row r="8" spans="1:4" x14ac:dyDescent="0.35">
      <c r="A8" s="3"/>
      <c r="B8" s="5" t="s">
        <v>17</v>
      </c>
      <c r="C8" s="5">
        <f>C3*15%</f>
        <v>348.32402234999995</v>
      </c>
      <c r="D8" s="1"/>
    </row>
    <row r="9" spans="1:4" x14ac:dyDescent="0.35">
      <c r="A9" s="3"/>
      <c r="B9" s="5" t="s">
        <v>18</v>
      </c>
      <c r="C9" s="5">
        <f>C3*4%</f>
        <v>92.886405959999991</v>
      </c>
      <c r="D9" s="1"/>
    </row>
    <row r="10" spans="1:4" x14ac:dyDescent="0.35">
      <c r="A10" s="3"/>
      <c r="B10" s="5" t="s">
        <v>19</v>
      </c>
      <c r="C10" s="5">
        <f>C3*15%</f>
        <v>348.32402234999995</v>
      </c>
      <c r="D10" s="1"/>
    </row>
    <row r="11" spans="1:4" x14ac:dyDescent="0.35">
      <c r="A11" s="3"/>
      <c r="B11" s="5" t="s">
        <v>20</v>
      </c>
      <c r="C11" s="5">
        <f>C3*20%</f>
        <v>464.43202980000001</v>
      </c>
      <c r="D11" s="1"/>
    </row>
    <row r="12" spans="1:4" x14ac:dyDescent="0.35">
      <c r="A12" s="3"/>
      <c r="B12" s="5" t="s">
        <v>21</v>
      </c>
      <c r="C12" s="5">
        <f>C3*5%</f>
        <v>116.10800745</v>
      </c>
      <c r="D12" s="1"/>
    </row>
    <row r="13" spans="1:4" x14ac:dyDescent="0.35">
      <c r="A13" s="3"/>
      <c r="B13" s="5" t="s">
        <v>22</v>
      </c>
      <c r="C13" s="5">
        <v>10</v>
      </c>
      <c r="D13" s="1"/>
    </row>
    <row r="14" spans="1:4" x14ac:dyDescent="0.35">
      <c r="A14" s="3"/>
      <c r="B14" s="5" t="s">
        <v>23</v>
      </c>
      <c r="C14" s="5">
        <f>SUM(C3:C13)</f>
        <v>4166.6666667099998</v>
      </c>
      <c r="D14" s="1"/>
    </row>
    <row r="15" spans="1:4" x14ac:dyDescent="0.35">
      <c r="A15" s="3"/>
      <c r="B15" s="5" t="s">
        <v>24</v>
      </c>
      <c r="C15" s="5">
        <f>C14*12</f>
        <v>50000.000000519998</v>
      </c>
      <c r="D15" s="1"/>
    </row>
    <row r="16" spans="1:4" x14ac:dyDescent="0.35">
      <c r="B16" s="6"/>
      <c r="C16" s="6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4BBE-0416-4CF0-A50D-16BEC4779963}">
  <sheetPr codeName="Planilha2"/>
  <dimension ref="A1:D7"/>
  <sheetViews>
    <sheetView workbookViewId="0"/>
    <sheetView workbookViewId="1"/>
  </sheetViews>
  <sheetFormatPr defaultColWidth="9.1796875" defaultRowHeight="14.5" x14ac:dyDescent="0.35"/>
  <cols>
    <col min="1" max="1" width="1.6328125" style="7" customWidth="1"/>
    <col min="2" max="2" width="23.26953125" style="7" customWidth="1"/>
    <col min="3" max="3" width="12" style="7" customWidth="1"/>
    <col min="4" max="16384" width="9.1796875" style="7"/>
  </cols>
  <sheetData>
    <row r="1" spans="1:4" ht="10" customHeight="1" x14ac:dyDescent="0.35">
      <c r="B1" s="10"/>
      <c r="C1" s="10"/>
    </row>
    <row r="2" spans="1:4" x14ac:dyDescent="0.35">
      <c r="A2" s="8"/>
      <c r="B2" s="223" t="s">
        <v>25</v>
      </c>
      <c r="C2" s="223"/>
      <c r="D2" s="9"/>
    </row>
    <row r="3" spans="1:4" x14ac:dyDescent="0.35">
      <c r="A3" s="8"/>
      <c r="B3" s="18" t="s">
        <v>25</v>
      </c>
      <c r="C3" s="19" t="s">
        <v>26</v>
      </c>
      <c r="D3" s="9"/>
    </row>
    <row r="4" spans="1:4" x14ac:dyDescent="0.35">
      <c r="A4" s="8"/>
      <c r="B4" s="17" t="s">
        <v>32</v>
      </c>
      <c r="C4" s="17">
        <v>1</v>
      </c>
      <c r="D4" s="9"/>
    </row>
    <row r="5" spans="1:4" x14ac:dyDescent="0.35">
      <c r="A5" s="8"/>
      <c r="B5" s="13" t="s">
        <v>33</v>
      </c>
      <c r="C5" s="13">
        <v>2</v>
      </c>
      <c r="D5" s="9"/>
    </row>
    <row r="6" spans="1:4" x14ac:dyDescent="0.35">
      <c r="A6" s="8"/>
      <c r="B6" s="12" t="s">
        <v>34</v>
      </c>
      <c r="C6" s="12">
        <v>3</v>
      </c>
      <c r="D6" s="9"/>
    </row>
    <row r="7" spans="1:4" x14ac:dyDescent="0.35">
      <c r="B7" s="11"/>
      <c r="C7" s="11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7220-3DE8-443D-8C35-C43D69D1FFB4}">
  <dimension ref="A1:G103"/>
  <sheetViews>
    <sheetView workbookViewId="0"/>
    <sheetView workbookViewId="1"/>
  </sheetViews>
  <sheetFormatPr defaultColWidth="9.1796875" defaultRowHeight="14.5" x14ac:dyDescent="0.35"/>
  <cols>
    <col min="1" max="1" width="1.6328125" style="7" customWidth="1"/>
    <col min="2" max="2" width="30.6328125" style="7" customWidth="1"/>
    <col min="3" max="4" width="9.1796875" style="7"/>
    <col min="5" max="5" width="5.6328125" style="7" customWidth="1"/>
    <col min="6" max="6" width="26.81640625" style="7" bestFit="1" customWidth="1"/>
    <col min="7" max="16384" width="9.1796875" style="7"/>
  </cols>
  <sheetData>
    <row r="1" spans="1:7" ht="10" customHeight="1" x14ac:dyDescent="0.35">
      <c r="B1" s="10"/>
      <c r="C1" s="10"/>
      <c r="E1" s="10"/>
      <c r="F1" s="10"/>
    </row>
    <row r="2" spans="1:7" x14ac:dyDescent="0.35">
      <c r="A2" s="8"/>
      <c r="B2" s="12" t="s">
        <v>87</v>
      </c>
      <c r="C2" s="12">
        <f>Questionário!$J$10</f>
        <v>0</v>
      </c>
      <c r="D2" s="82"/>
      <c r="E2" s="224" t="s">
        <v>88</v>
      </c>
      <c r="F2" s="224"/>
      <c r="G2" s="9"/>
    </row>
    <row r="3" spans="1:7" x14ac:dyDescent="0.35">
      <c r="B3" s="11"/>
      <c r="C3" s="11"/>
      <c r="D3" s="8"/>
      <c r="E3" s="12" t="s">
        <v>89</v>
      </c>
      <c r="F3" s="92">
        <f>IF(C2&lt;&gt;"",C2,)</f>
        <v>0</v>
      </c>
    </row>
    <row r="4" spans="1:7" x14ac:dyDescent="0.35">
      <c r="D4" s="8"/>
      <c r="E4" s="12">
        <v>0.25</v>
      </c>
      <c r="F4" s="92">
        <f>IFERROR(IF(($F$3-E4)&gt;=0,$F$3-E4,),)</f>
        <v>0</v>
      </c>
    </row>
    <row r="5" spans="1:7" x14ac:dyDescent="0.35">
      <c r="D5" s="8"/>
      <c r="E5" s="12">
        <v>0.5</v>
      </c>
      <c r="F5" s="92">
        <f>IFERROR(IF(($F$3-E5)&gt;=0,$F$3-E5,),)</f>
        <v>0</v>
      </c>
    </row>
    <row r="6" spans="1:7" x14ac:dyDescent="0.35">
      <c r="D6" s="8"/>
      <c r="E6" s="12">
        <v>0.75</v>
      </c>
      <c r="F6" s="92">
        <f t="shared" ref="F6:F69" si="0">IFERROR(IF(($F$3-E6)&gt;=0,$F$3-E6,),)</f>
        <v>0</v>
      </c>
    </row>
    <row r="7" spans="1:7" x14ac:dyDescent="0.35">
      <c r="D7" s="8"/>
      <c r="E7" s="12">
        <v>1</v>
      </c>
      <c r="F7" s="92">
        <f t="shared" si="0"/>
        <v>0</v>
      </c>
    </row>
    <row r="8" spans="1:7" x14ac:dyDescent="0.35">
      <c r="D8" s="8"/>
      <c r="E8" s="12">
        <v>1.25</v>
      </c>
      <c r="F8" s="92">
        <f t="shared" si="0"/>
        <v>0</v>
      </c>
    </row>
    <row r="9" spans="1:7" x14ac:dyDescent="0.35">
      <c r="D9" s="8"/>
      <c r="E9" s="12">
        <v>1.5</v>
      </c>
      <c r="F9" s="92">
        <f t="shared" si="0"/>
        <v>0</v>
      </c>
    </row>
    <row r="10" spans="1:7" x14ac:dyDescent="0.35">
      <c r="D10" s="8"/>
      <c r="E10" s="12">
        <v>1.75</v>
      </c>
      <c r="F10" s="92">
        <f t="shared" si="0"/>
        <v>0</v>
      </c>
    </row>
    <row r="11" spans="1:7" x14ac:dyDescent="0.35">
      <c r="D11" s="8"/>
      <c r="E11" s="12">
        <v>2</v>
      </c>
      <c r="F11" s="92">
        <f t="shared" si="0"/>
        <v>0</v>
      </c>
    </row>
    <row r="12" spans="1:7" x14ac:dyDescent="0.35">
      <c r="D12" s="8"/>
      <c r="E12" s="12">
        <v>2.25</v>
      </c>
      <c r="F12" s="92">
        <f t="shared" si="0"/>
        <v>0</v>
      </c>
    </row>
    <row r="13" spans="1:7" x14ac:dyDescent="0.35">
      <c r="D13" s="8"/>
      <c r="E13" s="12">
        <v>2.5</v>
      </c>
      <c r="F13" s="92">
        <f t="shared" si="0"/>
        <v>0</v>
      </c>
    </row>
    <row r="14" spans="1:7" x14ac:dyDescent="0.35">
      <c r="E14" s="12">
        <v>2.75</v>
      </c>
      <c r="F14" s="92">
        <f t="shared" si="0"/>
        <v>0</v>
      </c>
    </row>
    <row r="15" spans="1:7" x14ac:dyDescent="0.35">
      <c r="E15" s="12">
        <v>3</v>
      </c>
      <c r="F15" s="92">
        <f t="shared" si="0"/>
        <v>0</v>
      </c>
    </row>
    <row r="16" spans="1:7" x14ac:dyDescent="0.35">
      <c r="E16" s="12">
        <v>3.25</v>
      </c>
      <c r="F16" s="92">
        <f t="shared" si="0"/>
        <v>0</v>
      </c>
    </row>
    <row r="17" spans="5:6" x14ac:dyDescent="0.35">
      <c r="E17" s="12">
        <v>3.5</v>
      </c>
      <c r="F17" s="92">
        <f t="shared" si="0"/>
        <v>0</v>
      </c>
    </row>
    <row r="18" spans="5:6" x14ac:dyDescent="0.35">
      <c r="E18" s="12">
        <v>3.75</v>
      </c>
      <c r="F18" s="92">
        <f t="shared" si="0"/>
        <v>0</v>
      </c>
    </row>
    <row r="19" spans="5:6" x14ac:dyDescent="0.35">
      <c r="E19" s="12">
        <v>4</v>
      </c>
      <c r="F19" s="92">
        <f t="shared" si="0"/>
        <v>0</v>
      </c>
    </row>
    <row r="20" spans="5:6" x14ac:dyDescent="0.35">
      <c r="E20" s="12">
        <v>4.25</v>
      </c>
      <c r="F20" s="92">
        <f t="shared" si="0"/>
        <v>0</v>
      </c>
    </row>
    <row r="21" spans="5:6" x14ac:dyDescent="0.35">
      <c r="E21" s="12">
        <v>4.5</v>
      </c>
      <c r="F21" s="92">
        <f t="shared" si="0"/>
        <v>0</v>
      </c>
    </row>
    <row r="22" spans="5:6" x14ac:dyDescent="0.35">
      <c r="E22" s="12">
        <v>4.75</v>
      </c>
      <c r="F22" s="92">
        <f t="shared" si="0"/>
        <v>0</v>
      </c>
    </row>
    <row r="23" spans="5:6" x14ac:dyDescent="0.35">
      <c r="E23" s="12">
        <v>5</v>
      </c>
      <c r="F23" s="92">
        <f t="shared" si="0"/>
        <v>0</v>
      </c>
    </row>
    <row r="24" spans="5:6" x14ac:dyDescent="0.35">
      <c r="E24" s="12">
        <v>5.25</v>
      </c>
      <c r="F24" s="92">
        <f t="shared" si="0"/>
        <v>0</v>
      </c>
    </row>
    <row r="25" spans="5:6" x14ac:dyDescent="0.35">
      <c r="E25" s="12">
        <v>5.5</v>
      </c>
      <c r="F25" s="92">
        <f t="shared" si="0"/>
        <v>0</v>
      </c>
    </row>
    <row r="26" spans="5:6" x14ac:dyDescent="0.35">
      <c r="E26" s="12">
        <v>5.75</v>
      </c>
      <c r="F26" s="92">
        <f t="shared" si="0"/>
        <v>0</v>
      </c>
    </row>
    <row r="27" spans="5:6" x14ac:dyDescent="0.35">
      <c r="E27" s="12">
        <v>6</v>
      </c>
      <c r="F27" s="92">
        <f t="shared" si="0"/>
        <v>0</v>
      </c>
    </row>
    <row r="28" spans="5:6" x14ac:dyDescent="0.35">
      <c r="E28" s="12">
        <v>6.25</v>
      </c>
      <c r="F28" s="92">
        <f t="shared" si="0"/>
        <v>0</v>
      </c>
    </row>
    <row r="29" spans="5:6" x14ac:dyDescent="0.35">
      <c r="E29" s="12">
        <v>6.5</v>
      </c>
      <c r="F29" s="92">
        <f t="shared" si="0"/>
        <v>0</v>
      </c>
    </row>
    <row r="30" spans="5:6" x14ac:dyDescent="0.35">
      <c r="E30" s="12">
        <v>6.75</v>
      </c>
      <c r="F30" s="92">
        <f t="shared" si="0"/>
        <v>0</v>
      </c>
    </row>
    <row r="31" spans="5:6" x14ac:dyDescent="0.35">
      <c r="E31" s="12">
        <v>7</v>
      </c>
      <c r="F31" s="92">
        <f t="shared" si="0"/>
        <v>0</v>
      </c>
    </row>
    <row r="32" spans="5:6" x14ac:dyDescent="0.35">
      <c r="E32" s="12">
        <v>7.25</v>
      </c>
      <c r="F32" s="92">
        <f t="shared" si="0"/>
        <v>0</v>
      </c>
    </row>
    <row r="33" spans="5:6" x14ac:dyDescent="0.35">
      <c r="E33" s="12">
        <v>7.5</v>
      </c>
      <c r="F33" s="92">
        <f t="shared" si="0"/>
        <v>0</v>
      </c>
    </row>
    <row r="34" spans="5:6" x14ac:dyDescent="0.35">
      <c r="E34" s="12">
        <v>7.75</v>
      </c>
      <c r="F34" s="92">
        <f t="shared" si="0"/>
        <v>0</v>
      </c>
    </row>
    <row r="35" spans="5:6" x14ac:dyDescent="0.35">
      <c r="E35" s="12">
        <v>8</v>
      </c>
      <c r="F35" s="92">
        <f t="shared" si="0"/>
        <v>0</v>
      </c>
    </row>
    <row r="36" spans="5:6" x14ac:dyDescent="0.35">
      <c r="E36" s="12">
        <v>8.25</v>
      </c>
      <c r="F36" s="92">
        <f t="shared" si="0"/>
        <v>0</v>
      </c>
    </row>
    <row r="37" spans="5:6" x14ac:dyDescent="0.35">
      <c r="E37" s="12">
        <v>8.5</v>
      </c>
      <c r="F37" s="92">
        <f t="shared" si="0"/>
        <v>0</v>
      </c>
    </row>
    <row r="38" spans="5:6" x14ac:dyDescent="0.35">
      <c r="E38" s="12">
        <v>8.75</v>
      </c>
      <c r="F38" s="92">
        <f t="shared" si="0"/>
        <v>0</v>
      </c>
    </row>
    <row r="39" spans="5:6" x14ac:dyDescent="0.35">
      <c r="E39" s="12">
        <v>9</v>
      </c>
      <c r="F39" s="92">
        <f t="shared" si="0"/>
        <v>0</v>
      </c>
    </row>
    <row r="40" spans="5:6" x14ac:dyDescent="0.35">
      <c r="E40" s="12">
        <v>9.25</v>
      </c>
      <c r="F40" s="92">
        <f t="shared" si="0"/>
        <v>0</v>
      </c>
    </row>
    <row r="41" spans="5:6" x14ac:dyDescent="0.35">
      <c r="E41" s="12">
        <v>9.5</v>
      </c>
      <c r="F41" s="92">
        <f t="shared" si="0"/>
        <v>0</v>
      </c>
    </row>
    <row r="42" spans="5:6" x14ac:dyDescent="0.35">
      <c r="E42" s="12">
        <v>9.75</v>
      </c>
      <c r="F42" s="92">
        <f t="shared" si="0"/>
        <v>0</v>
      </c>
    </row>
    <row r="43" spans="5:6" x14ac:dyDescent="0.35">
      <c r="E43" s="12">
        <v>10</v>
      </c>
      <c r="F43" s="92">
        <f t="shared" si="0"/>
        <v>0</v>
      </c>
    </row>
    <row r="44" spans="5:6" x14ac:dyDescent="0.35">
      <c r="E44" s="12">
        <v>10.25</v>
      </c>
      <c r="F44" s="92">
        <f t="shared" si="0"/>
        <v>0</v>
      </c>
    </row>
    <row r="45" spans="5:6" x14ac:dyDescent="0.35">
      <c r="E45" s="12">
        <v>10.5</v>
      </c>
      <c r="F45" s="92">
        <f t="shared" si="0"/>
        <v>0</v>
      </c>
    </row>
    <row r="46" spans="5:6" x14ac:dyDescent="0.35">
      <c r="E46" s="12">
        <v>10.75</v>
      </c>
      <c r="F46" s="92">
        <f t="shared" si="0"/>
        <v>0</v>
      </c>
    </row>
    <row r="47" spans="5:6" x14ac:dyDescent="0.35">
      <c r="E47" s="12">
        <v>11</v>
      </c>
      <c r="F47" s="92">
        <f t="shared" si="0"/>
        <v>0</v>
      </c>
    </row>
    <row r="48" spans="5:6" x14ac:dyDescent="0.35">
      <c r="E48" s="12">
        <v>11.25</v>
      </c>
      <c r="F48" s="92">
        <f t="shared" si="0"/>
        <v>0</v>
      </c>
    </row>
    <row r="49" spans="5:6" x14ac:dyDescent="0.35">
      <c r="E49" s="12">
        <v>11.5</v>
      </c>
      <c r="F49" s="92">
        <f t="shared" si="0"/>
        <v>0</v>
      </c>
    </row>
    <row r="50" spans="5:6" x14ac:dyDescent="0.35">
      <c r="E50" s="12">
        <v>11.75</v>
      </c>
      <c r="F50" s="92">
        <f t="shared" si="0"/>
        <v>0</v>
      </c>
    </row>
    <row r="51" spans="5:6" x14ac:dyDescent="0.35">
      <c r="E51" s="12">
        <v>12</v>
      </c>
      <c r="F51" s="92">
        <f t="shared" si="0"/>
        <v>0</v>
      </c>
    </row>
    <row r="52" spans="5:6" x14ac:dyDescent="0.35">
      <c r="E52" s="12">
        <v>12.25</v>
      </c>
      <c r="F52" s="92">
        <f t="shared" si="0"/>
        <v>0</v>
      </c>
    </row>
    <row r="53" spans="5:6" x14ac:dyDescent="0.35">
      <c r="E53" s="12">
        <v>12.5</v>
      </c>
      <c r="F53" s="92">
        <f t="shared" si="0"/>
        <v>0</v>
      </c>
    </row>
    <row r="54" spans="5:6" x14ac:dyDescent="0.35">
      <c r="E54" s="12">
        <v>12.75</v>
      </c>
      <c r="F54" s="92">
        <f t="shared" si="0"/>
        <v>0</v>
      </c>
    </row>
    <row r="55" spans="5:6" x14ac:dyDescent="0.35">
      <c r="E55" s="12">
        <v>13</v>
      </c>
      <c r="F55" s="92">
        <f t="shared" si="0"/>
        <v>0</v>
      </c>
    </row>
    <row r="56" spans="5:6" x14ac:dyDescent="0.35">
      <c r="E56" s="12">
        <v>13.25</v>
      </c>
      <c r="F56" s="92">
        <f t="shared" si="0"/>
        <v>0</v>
      </c>
    </row>
    <row r="57" spans="5:6" x14ac:dyDescent="0.35">
      <c r="E57" s="12">
        <v>13.5</v>
      </c>
      <c r="F57" s="92">
        <f t="shared" si="0"/>
        <v>0</v>
      </c>
    </row>
    <row r="58" spans="5:6" x14ac:dyDescent="0.35">
      <c r="E58" s="12">
        <v>13.75</v>
      </c>
      <c r="F58" s="92">
        <f t="shared" si="0"/>
        <v>0</v>
      </c>
    </row>
    <row r="59" spans="5:6" x14ac:dyDescent="0.35">
      <c r="E59" s="12">
        <v>14</v>
      </c>
      <c r="F59" s="92">
        <f t="shared" si="0"/>
        <v>0</v>
      </c>
    </row>
    <row r="60" spans="5:6" x14ac:dyDescent="0.35">
      <c r="E60" s="12">
        <v>14.25</v>
      </c>
      <c r="F60" s="92">
        <f t="shared" si="0"/>
        <v>0</v>
      </c>
    </row>
    <row r="61" spans="5:6" x14ac:dyDescent="0.35">
      <c r="E61" s="12">
        <v>14.5</v>
      </c>
      <c r="F61" s="92">
        <f t="shared" si="0"/>
        <v>0</v>
      </c>
    </row>
    <row r="62" spans="5:6" x14ac:dyDescent="0.35">
      <c r="E62" s="12">
        <v>14.75</v>
      </c>
      <c r="F62" s="92">
        <f t="shared" si="0"/>
        <v>0</v>
      </c>
    </row>
    <row r="63" spans="5:6" x14ac:dyDescent="0.35">
      <c r="E63" s="12">
        <v>15</v>
      </c>
      <c r="F63" s="92">
        <f t="shared" si="0"/>
        <v>0</v>
      </c>
    </row>
    <row r="64" spans="5:6" x14ac:dyDescent="0.35">
      <c r="E64" s="12">
        <v>15.25</v>
      </c>
      <c r="F64" s="92">
        <f t="shared" si="0"/>
        <v>0</v>
      </c>
    </row>
    <row r="65" spans="5:6" x14ac:dyDescent="0.35">
      <c r="E65" s="12">
        <v>15.5</v>
      </c>
      <c r="F65" s="92">
        <f t="shared" si="0"/>
        <v>0</v>
      </c>
    </row>
    <row r="66" spans="5:6" x14ac:dyDescent="0.35">
      <c r="E66" s="12">
        <v>15.75</v>
      </c>
      <c r="F66" s="92">
        <f t="shared" si="0"/>
        <v>0</v>
      </c>
    </row>
    <row r="67" spans="5:6" x14ac:dyDescent="0.35">
      <c r="E67" s="12">
        <v>16</v>
      </c>
      <c r="F67" s="92">
        <f t="shared" si="0"/>
        <v>0</v>
      </c>
    </row>
    <row r="68" spans="5:6" x14ac:dyDescent="0.35">
      <c r="E68" s="12">
        <v>16.25</v>
      </c>
      <c r="F68" s="92">
        <f t="shared" si="0"/>
        <v>0</v>
      </c>
    </row>
    <row r="69" spans="5:6" x14ac:dyDescent="0.35">
      <c r="E69" s="12">
        <v>16.5</v>
      </c>
      <c r="F69" s="92">
        <f t="shared" si="0"/>
        <v>0</v>
      </c>
    </row>
    <row r="70" spans="5:6" x14ac:dyDescent="0.35">
      <c r="E70" s="12">
        <v>16.75</v>
      </c>
      <c r="F70" s="92">
        <f t="shared" ref="F70:F103" si="1">IFERROR(IF(($F$3-E70)&gt;=0,$F$3-E70,),)</f>
        <v>0</v>
      </c>
    </row>
    <row r="71" spans="5:6" x14ac:dyDescent="0.35">
      <c r="E71" s="12">
        <v>17</v>
      </c>
      <c r="F71" s="92">
        <f t="shared" si="1"/>
        <v>0</v>
      </c>
    </row>
    <row r="72" spans="5:6" x14ac:dyDescent="0.35">
      <c r="E72" s="12">
        <v>17.25</v>
      </c>
      <c r="F72" s="92">
        <f t="shared" si="1"/>
        <v>0</v>
      </c>
    </row>
    <row r="73" spans="5:6" x14ac:dyDescent="0.35">
      <c r="E73" s="12">
        <v>17.5</v>
      </c>
      <c r="F73" s="92">
        <f t="shared" si="1"/>
        <v>0</v>
      </c>
    </row>
    <row r="74" spans="5:6" x14ac:dyDescent="0.35">
      <c r="E74" s="12">
        <v>17.75</v>
      </c>
      <c r="F74" s="92">
        <f t="shared" si="1"/>
        <v>0</v>
      </c>
    </row>
    <row r="75" spans="5:6" x14ac:dyDescent="0.35">
      <c r="E75" s="12">
        <v>18</v>
      </c>
      <c r="F75" s="92">
        <f t="shared" si="1"/>
        <v>0</v>
      </c>
    </row>
    <row r="76" spans="5:6" x14ac:dyDescent="0.35">
      <c r="E76" s="12">
        <v>18.25</v>
      </c>
      <c r="F76" s="92">
        <f t="shared" si="1"/>
        <v>0</v>
      </c>
    </row>
    <row r="77" spans="5:6" x14ac:dyDescent="0.35">
      <c r="E77" s="12">
        <v>18.5</v>
      </c>
      <c r="F77" s="92">
        <f t="shared" si="1"/>
        <v>0</v>
      </c>
    </row>
    <row r="78" spans="5:6" x14ac:dyDescent="0.35">
      <c r="E78" s="12">
        <v>18.75</v>
      </c>
      <c r="F78" s="92">
        <f t="shared" si="1"/>
        <v>0</v>
      </c>
    </row>
    <row r="79" spans="5:6" x14ac:dyDescent="0.35">
      <c r="E79" s="12">
        <v>19</v>
      </c>
      <c r="F79" s="92">
        <f t="shared" si="1"/>
        <v>0</v>
      </c>
    </row>
    <row r="80" spans="5:6" x14ac:dyDescent="0.35">
      <c r="E80" s="12">
        <v>19.25</v>
      </c>
      <c r="F80" s="92">
        <f t="shared" si="1"/>
        <v>0</v>
      </c>
    </row>
    <row r="81" spans="5:6" x14ac:dyDescent="0.35">
      <c r="E81" s="12">
        <v>19.5</v>
      </c>
      <c r="F81" s="92">
        <f t="shared" si="1"/>
        <v>0</v>
      </c>
    </row>
    <row r="82" spans="5:6" x14ac:dyDescent="0.35">
      <c r="E82" s="12">
        <v>19.75</v>
      </c>
      <c r="F82" s="92">
        <f t="shared" si="1"/>
        <v>0</v>
      </c>
    </row>
    <row r="83" spans="5:6" x14ac:dyDescent="0.35">
      <c r="E83" s="12">
        <v>20</v>
      </c>
      <c r="F83" s="92">
        <f t="shared" si="1"/>
        <v>0</v>
      </c>
    </row>
    <row r="84" spans="5:6" x14ac:dyDescent="0.35">
      <c r="E84" s="12">
        <v>20.25</v>
      </c>
      <c r="F84" s="92">
        <f t="shared" si="1"/>
        <v>0</v>
      </c>
    </row>
    <row r="85" spans="5:6" x14ac:dyDescent="0.35">
      <c r="E85" s="12">
        <v>20.5</v>
      </c>
      <c r="F85" s="92">
        <f t="shared" si="1"/>
        <v>0</v>
      </c>
    </row>
    <row r="86" spans="5:6" x14ac:dyDescent="0.35">
      <c r="E86" s="12">
        <v>20.75</v>
      </c>
      <c r="F86" s="92">
        <f t="shared" si="1"/>
        <v>0</v>
      </c>
    </row>
    <row r="87" spans="5:6" x14ac:dyDescent="0.35">
      <c r="E87" s="12">
        <v>21</v>
      </c>
      <c r="F87" s="92">
        <f t="shared" si="1"/>
        <v>0</v>
      </c>
    </row>
    <row r="88" spans="5:6" x14ac:dyDescent="0.35">
      <c r="E88" s="12">
        <v>21.25</v>
      </c>
      <c r="F88" s="92">
        <f t="shared" si="1"/>
        <v>0</v>
      </c>
    </row>
    <row r="89" spans="5:6" x14ac:dyDescent="0.35">
      <c r="E89" s="12">
        <v>21.5</v>
      </c>
      <c r="F89" s="92">
        <f t="shared" si="1"/>
        <v>0</v>
      </c>
    </row>
    <row r="90" spans="5:6" x14ac:dyDescent="0.35">
      <c r="E90" s="12">
        <v>21.75</v>
      </c>
      <c r="F90" s="92">
        <f t="shared" si="1"/>
        <v>0</v>
      </c>
    </row>
    <row r="91" spans="5:6" x14ac:dyDescent="0.35">
      <c r="E91" s="12">
        <v>22</v>
      </c>
      <c r="F91" s="92">
        <f t="shared" si="1"/>
        <v>0</v>
      </c>
    </row>
    <row r="92" spans="5:6" x14ac:dyDescent="0.35">
      <c r="E92" s="12">
        <v>22.25</v>
      </c>
      <c r="F92" s="92">
        <f t="shared" si="1"/>
        <v>0</v>
      </c>
    </row>
    <row r="93" spans="5:6" x14ac:dyDescent="0.35">
      <c r="E93" s="12">
        <v>22.5</v>
      </c>
      <c r="F93" s="92">
        <f t="shared" si="1"/>
        <v>0</v>
      </c>
    </row>
    <row r="94" spans="5:6" x14ac:dyDescent="0.35">
      <c r="E94" s="12">
        <v>22.75</v>
      </c>
      <c r="F94" s="92">
        <f t="shared" si="1"/>
        <v>0</v>
      </c>
    </row>
    <row r="95" spans="5:6" x14ac:dyDescent="0.35">
      <c r="E95" s="12">
        <v>23</v>
      </c>
      <c r="F95" s="92">
        <f t="shared" si="1"/>
        <v>0</v>
      </c>
    </row>
    <row r="96" spans="5:6" x14ac:dyDescent="0.35">
      <c r="E96" s="12">
        <v>23.25</v>
      </c>
      <c r="F96" s="92">
        <f t="shared" si="1"/>
        <v>0</v>
      </c>
    </row>
    <row r="97" spans="5:6" x14ac:dyDescent="0.35">
      <c r="E97" s="12">
        <v>23.5</v>
      </c>
      <c r="F97" s="92">
        <f t="shared" si="1"/>
        <v>0</v>
      </c>
    </row>
    <row r="98" spans="5:6" x14ac:dyDescent="0.35">
      <c r="E98" s="12">
        <v>23.75</v>
      </c>
      <c r="F98" s="92">
        <f t="shared" si="1"/>
        <v>0</v>
      </c>
    </row>
    <row r="99" spans="5:6" x14ac:dyDescent="0.35">
      <c r="E99" s="12">
        <v>24</v>
      </c>
      <c r="F99" s="92">
        <f t="shared" si="1"/>
        <v>0</v>
      </c>
    </row>
    <row r="100" spans="5:6" x14ac:dyDescent="0.35">
      <c r="E100" s="12">
        <v>24.25</v>
      </c>
      <c r="F100" s="92">
        <f t="shared" si="1"/>
        <v>0</v>
      </c>
    </row>
    <row r="101" spans="5:6" x14ac:dyDescent="0.35">
      <c r="E101" s="12">
        <v>24.5</v>
      </c>
      <c r="F101" s="92">
        <f t="shared" si="1"/>
        <v>0</v>
      </c>
    </row>
    <row r="102" spans="5:6" x14ac:dyDescent="0.35">
      <c r="E102" s="12">
        <v>24.75</v>
      </c>
      <c r="F102" s="92">
        <f t="shared" si="1"/>
        <v>0</v>
      </c>
    </row>
    <row r="103" spans="5:6" x14ac:dyDescent="0.35">
      <c r="E103" s="12">
        <v>25</v>
      </c>
      <c r="F103" s="92">
        <f t="shared" si="1"/>
        <v>0</v>
      </c>
    </row>
  </sheetData>
  <mergeCells count="1">
    <mergeCell ref="E2:F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67BF-7849-4F2A-A656-F4467DB7A1D0}">
  <sheetPr codeName="Planilha4"/>
  <dimension ref="A1"/>
  <sheetViews>
    <sheetView workbookViewId="0"/>
    <sheetView workbookViewId="1"/>
  </sheetViews>
  <sheetFormatPr defaultColWidth="9.1796875" defaultRowHeight="14.5" x14ac:dyDescent="0.35"/>
  <cols>
    <col min="1" max="1" width="1.26953125" style="7" customWidth="1"/>
    <col min="2" max="16384" width="9.1796875" style="7"/>
  </cols>
  <sheetData>
    <row r="1" ht="7.5" customHeight="1" x14ac:dyDescent="0.35"/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7365ee-0506-43fd-bd4e-f8d80a94140a" xsi:nil="true"/>
    <lcf76f155ced4ddcb4097134ff3c332f xmlns="0937ef90-1e35-41fe-b66b-3d6eb39f296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BE863C7DEB1143A1722BF8241A8B70" ma:contentTypeVersion="9" ma:contentTypeDescription="Crie um novo documento." ma:contentTypeScope="" ma:versionID="24ea4bd37ddb1ad5908bd50654406252">
  <xsd:schema xmlns:xsd="http://www.w3.org/2001/XMLSchema" xmlns:xs="http://www.w3.org/2001/XMLSchema" xmlns:p="http://schemas.microsoft.com/office/2006/metadata/properties" xmlns:ns2="0937ef90-1e35-41fe-b66b-3d6eb39f296f" xmlns:ns3="c37365ee-0506-43fd-bd4e-f8d80a94140a" targetNamespace="http://schemas.microsoft.com/office/2006/metadata/properties" ma:root="true" ma:fieldsID="36fe7a77415a2285e25b7c1f388f1726" ns2:_="" ns3:_="">
    <xsd:import namespace="0937ef90-1e35-41fe-b66b-3d6eb39f296f"/>
    <xsd:import namespace="c37365ee-0506-43fd-bd4e-f8d80a941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7ef90-1e35-41fe-b66b-3d6eb39f2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564e5bec-b10b-49d1-b60b-b16c800315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365ee-0506-43fd-bd4e-f8d80a941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a33ade4-eec6-4d66-8a4d-436d204ae94c}" ma:internalName="TaxCatchAll" ma:showField="CatchAllData" ma:web="c37365ee-0506-43fd-bd4e-f8d80a9414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6A70D-6582-491B-B66D-422142AD78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BCBE0-E0DC-4DF9-A83F-89D08C7A8B11}">
  <ds:schemaRefs>
    <ds:schemaRef ds:uri="http://schemas.microsoft.com/office/2006/metadata/properties"/>
    <ds:schemaRef ds:uri="http://schemas.microsoft.com/office/infopath/2007/PartnerControls"/>
    <ds:schemaRef ds:uri="c37365ee-0506-43fd-bd4e-f8d80a94140a"/>
    <ds:schemaRef ds:uri="0937ef90-1e35-41fe-b66b-3d6eb39f296f"/>
  </ds:schemaRefs>
</ds:datastoreItem>
</file>

<file path=customXml/itemProps3.xml><?xml version="1.0" encoding="utf-8"?>
<ds:datastoreItem xmlns:ds="http://schemas.openxmlformats.org/officeDocument/2006/customXml" ds:itemID="{A9DA2C43-7D9A-45D8-96B0-369F14D50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37ef90-1e35-41fe-b66b-3d6eb39f296f"/>
    <ds:schemaRef ds:uri="c37365ee-0506-43fd-bd4e-f8d80a941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Questionário</vt:lpstr>
      <vt:lpstr>Indenização</vt:lpstr>
      <vt:lpstr>fCustosAnuais</vt:lpstr>
      <vt:lpstr>fTurnos</vt:lpstr>
      <vt:lpstr>fColaboradores</vt:lpstr>
      <vt:lpstr>fFuncao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Pré-Vendas e Vendas</dc:creator>
  <cp:lastModifiedBy>David Santos</cp:lastModifiedBy>
  <cp:lastPrinted>2021-05-07T14:21:49Z</cp:lastPrinted>
  <dcterms:created xsi:type="dcterms:W3CDTF">2021-04-28T11:55:19Z</dcterms:created>
  <dcterms:modified xsi:type="dcterms:W3CDTF">2023-11-21T18:01:29Z</dcterms:modified>
  <cp:version>3.1.0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0x01010049BE863C7DEB1143A1722BF8241A8B70</vt:lpwstr>
  </property>
</Properties>
</file>